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muggem\AppData\Local\Microsoft\Windows\INetCache\Content.Outlook\EYNH91EZ\"/>
    </mc:Choice>
  </mc:AlternateContent>
  <xr:revisionPtr revIDLastSave="0" documentId="13_ncr:1_{FEFDF267-19FD-4C5D-82C7-C44147FA7DBA}" xr6:coauthVersionLast="47" xr6:coauthVersionMax="47" xr10:uidLastSave="{00000000-0000-0000-0000-000000000000}"/>
  <bookViews>
    <workbookView xWindow="-110" yWindow="-110" windowWidth="19420" windowHeight="10420" tabRatio="862" activeTab="2" xr2:uid="{1201415B-9CE0-4180-9814-A1E6E089401B}"/>
  </bookViews>
  <sheets>
    <sheet name="Colofon" sheetId="6" r:id="rId1"/>
    <sheet name="Overzicht" sheetId="65" r:id="rId2"/>
    <sheet name="Correcties" sheetId="149" r:id="rId3"/>
    <sheet name="1" sheetId="4018" r:id="rId4"/>
    <sheet name="2" sheetId="4019" r:id="rId5"/>
    <sheet name="3" sheetId="4020" r:id="rId6"/>
    <sheet name="4" sheetId="4021" r:id="rId7"/>
    <sheet name="5" sheetId="4037" r:id="rId8"/>
    <sheet name="6" sheetId="4022" r:id="rId9"/>
    <sheet name="7" sheetId="4038" r:id="rId10"/>
    <sheet name="8" sheetId="4023" r:id="rId11"/>
    <sheet name="9" sheetId="4024" r:id="rId12"/>
    <sheet name="10" sheetId="4025" r:id="rId13"/>
    <sheet name="11" sheetId="4026" r:id="rId14"/>
    <sheet name="12" sheetId="4027" r:id="rId15"/>
    <sheet name="13" sheetId="4028" r:id="rId16"/>
    <sheet name="14" sheetId="4029" r:id="rId17"/>
    <sheet name="15" sheetId="4030" r:id="rId18"/>
    <sheet name="16" sheetId="4031" r:id="rId19"/>
    <sheet name="17" sheetId="4032" r:id="rId20"/>
    <sheet name="18" sheetId="4033" r:id="rId21"/>
    <sheet name="19" sheetId="4034" r:id="rId22"/>
    <sheet name="20" sheetId="4035" r:id="rId23"/>
    <sheet name="21" sheetId="4036" r:id="rId24"/>
  </sheets>
  <definedNames>
    <definedName name="decimalen">Colofon!$C$31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49" l="1"/>
  <c r="D5" i="149"/>
  <c r="E47" i="149"/>
  <c r="E45" i="149"/>
  <c r="D6" i="149"/>
  <c r="C169" i="4035" s="1"/>
  <c r="AR127" i="4036"/>
  <c r="AQ127" i="4036"/>
  <c r="AP127" i="4036"/>
  <c r="AO127" i="4036"/>
  <c r="AN127" i="4036"/>
  <c r="AM127" i="4036"/>
  <c r="AL127" i="4036"/>
  <c r="AK127" i="4036"/>
  <c r="AJ127" i="4036"/>
  <c r="AI127" i="4036"/>
  <c r="AH127" i="4036"/>
  <c r="AG127" i="4036"/>
  <c r="AF127" i="4036"/>
  <c r="AE127" i="4036"/>
  <c r="AD127" i="4036"/>
  <c r="AC127" i="4036"/>
  <c r="AB127" i="4036"/>
  <c r="AA127" i="4036"/>
  <c r="Z127" i="4036"/>
  <c r="Y127" i="4036"/>
  <c r="X127" i="4036"/>
  <c r="W127" i="4036"/>
  <c r="V127" i="4036"/>
  <c r="U127" i="4036"/>
  <c r="T127" i="4036"/>
  <c r="S127" i="4036"/>
  <c r="R127" i="4036"/>
  <c r="Q127" i="4036"/>
  <c r="P127" i="4036"/>
  <c r="O127" i="4036"/>
  <c r="N127" i="4036"/>
  <c r="M127" i="4036"/>
  <c r="L127" i="4036"/>
  <c r="K127" i="4036"/>
  <c r="J127" i="4036"/>
  <c r="I127" i="4036"/>
  <c r="H127" i="4036"/>
  <c r="G127" i="4036"/>
  <c r="F127" i="4036"/>
  <c r="E127" i="4036"/>
  <c r="AR127" i="4035"/>
  <c r="AQ127" i="4035"/>
  <c r="AP127" i="4035"/>
  <c r="AO127" i="4035"/>
  <c r="AN127" i="4035"/>
  <c r="AM127" i="4035"/>
  <c r="AL127" i="4035"/>
  <c r="AK127" i="4035"/>
  <c r="AJ127" i="4035"/>
  <c r="AI127" i="4035"/>
  <c r="AH127" i="4035"/>
  <c r="AG127" i="4035"/>
  <c r="AF127" i="4035"/>
  <c r="AE127" i="4035"/>
  <c r="AD127" i="4035"/>
  <c r="AC127" i="4035"/>
  <c r="AB127" i="4035"/>
  <c r="AA127" i="4035"/>
  <c r="Z127" i="4035"/>
  <c r="Y127" i="4035"/>
  <c r="X127" i="4035"/>
  <c r="W127" i="4035"/>
  <c r="V127" i="4035"/>
  <c r="U127" i="4035"/>
  <c r="T127" i="4035"/>
  <c r="S127" i="4035"/>
  <c r="R127" i="4035"/>
  <c r="Q127" i="4035"/>
  <c r="P127" i="4035"/>
  <c r="O127" i="4035"/>
  <c r="N127" i="4035"/>
  <c r="M127" i="4035"/>
  <c r="L127" i="4035"/>
  <c r="K127" i="4035"/>
  <c r="J127" i="4035"/>
  <c r="I127" i="4035"/>
  <c r="H127" i="4035"/>
  <c r="G127" i="4035"/>
  <c r="F127" i="4035"/>
  <c r="E127" i="4035"/>
  <c r="AR127" i="4034"/>
  <c r="AQ127" i="4034"/>
  <c r="AP127" i="4034"/>
  <c r="AO127" i="4034"/>
  <c r="AN127" i="4034"/>
  <c r="AM127" i="4034"/>
  <c r="AL127" i="4034"/>
  <c r="AK127" i="4034"/>
  <c r="AJ127" i="4034"/>
  <c r="AI127" i="4034"/>
  <c r="AH127" i="4034"/>
  <c r="AG127" i="4034"/>
  <c r="AF127" i="4034"/>
  <c r="AE127" i="4034"/>
  <c r="AD127" i="4034"/>
  <c r="AC127" i="4034"/>
  <c r="AB127" i="4034"/>
  <c r="AA127" i="4034"/>
  <c r="Z127" i="4034"/>
  <c r="Y127" i="4034"/>
  <c r="X127" i="4034"/>
  <c r="W127" i="4034"/>
  <c r="V127" i="4034"/>
  <c r="U127" i="4034"/>
  <c r="T127" i="4034"/>
  <c r="S127" i="4034"/>
  <c r="R127" i="4034"/>
  <c r="Q127" i="4034"/>
  <c r="P127" i="4034"/>
  <c r="O127" i="4034"/>
  <c r="N127" i="4034"/>
  <c r="M127" i="4034"/>
  <c r="L127" i="4034"/>
  <c r="K127" i="4034"/>
  <c r="J127" i="4034"/>
  <c r="I127" i="4034"/>
  <c r="H127" i="4034"/>
  <c r="G127" i="4034"/>
  <c r="F127" i="4034"/>
  <c r="E127" i="4034"/>
  <c r="AR127" i="4033"/>
  <c r="AQ127" i="4033"/>
  <c r="AP127" i="4033"/>
  <c r="AO127" i="4033"/>
  <c r="AN127" i="4033"/>
  <c r="AM127" i="4033"/>
  <c r="AL127" i="4033"/>
  <c r="AK127" i="4033"/>
  <c r="AJ127" i="4033"/>
  <c r="AI127" i="4033"/>
  <c r="AH127" i="4033"/>
  <c r="AG127" i="4033"/>
  <c r="AF127" i="4033"/>
  <c r="AE127" i="4033"/>
  <c r="AD127" i="4033"/>
  <c r="AC127" i="4033"/>
  <c r="AB127" i="4033"/>
  <c r="AA127" i="4033"/>
  <c r="Z127" i="4033"/>
  <c r="Y127" i="4033"/>
  <c r="X127" i="4033"/>
  <c r="W127" i="4033"/>
  <c r="V127" i="4033"/>
  <c r="U127" i="4033"/>
  <c r="T127" i="4033"/>
  <c r="S127" i="4033"/>
  <c r="R127" i="4033"/>
  <c r="Q127" i="4033"/>
  <c r="P127" i="4033"/>
  <c r="O127" i="4033"/>
  <c r="N127" i="4033"/>
  <c r="M127" i="4033"/>
  <c r="L127" i="4033"/>
  <c r="K127" i="4033"/>
  <c r="J127" i="4033"/>
  <c r="I127" i="4033"/>
  <c r="H127" i="4033"/>
  <c r="G127" i="4033"/>
  <c r="F127" i="4033"/>
  <c r="E127" i="4033"/>
  <c r="AR127" i="4032"/>
  <c r="AQ127" i="4032"/>
  <c r="AP127" i="4032"/>
  <c r="AO127" i="4032"/>
  <c r="AN127" i="4032"/>
  <c r="AM127" i="4032"/>
  <c r="AL127" i="4032"/>
  <c r="AK127" i="4032"/>
  <c r="AJ127" i="4032"/>
  <c r="AI127" i="4032"/>
  <c r="AH127" i="4032"/>
  <c r="AG127" i="4032"/>
  <c r="AF127" i="4032"/>
  <c r="AE127" i="4032"/>
  <c r="AD127" i="4032"/>
  <c r="AC127" i="4032"/>
  <c r="AB127" i="4032"/>
  <c r="AA127" i="4032"/>
  <c r="Z127" i="4032"/>
  <c r="Y127" i="4032"/>
  <c r="X127" i="4032"/>
  <c r="W127" i="4032"/>
  <c r="V127" i="4032"/>
  <c r="U127" i="4032"/>
  <c r="T127" i="4032"/>
  <c r="S127" i="4032"/>
  <c r="R127" i="4032"/>
  <c r="Q127" i="4032"/>
  <c r="P127" i="4032"/>
  <c r="O127" i="4032"/>
  <c r="N127" i="4032"/>
  <c r="M127" i="4032"/>
  <c r="L127" i="4032"/>
  <c r="K127" i="4032"/>
  <c r="J127" i="4032"/>
  <c r="I127" i="4032"/>
  <c r="H127" i="4032"/>
  <c r="G127" i="4032"/>
  <c r="F127" i="4032"/>
  <c r="E127" i="4032"/>
  <c r="AR127" i="4031"/>
  <c r="AQ127" i="4031"/>
  <c r="AP127" i="4031"/>
  <c r="AO127" i="4031"/>
  <c r="AN127" i="4031"/>
  <c r="AM127" i="4031"/>
  <c r="AL127" i="4031"/>
  <c r="AK127" i="4031"/>
  <c r="AJ127" i="4031"/>
  <c r="AI127" i="4031"/>
  <c r="AH127" i="4031"/>
  <c r="AG127" i="4031"/>
  <c r="AF127" i="4031"/>
  <c r="AE127" i="4031"/>
  <c r="AD127" i="4031"/>
  <c r="AC127" i="4031"/>
  <c r="AB127" i="4031"/>
  <c r="AA127" i="4031"/>
  <c r="Z127" i="4031"/>
  <c r="Y127" i="4031"/>
  <c r="X127" i="4031"/>
  <c r="W127" i="4031"/>
  <c r="V127" i="4031"/>
  <c r="U127" i="4031"/>
  <c r="T127" i="4031"/>
  <c r="S127" i="4031"/>
  <c r="R127" i="4031"/>
  <c r="Q127" i="4031"/>
  <c r="P127" i="4031"/>
  <c r="O127" i="4031"/>
  <c r="N127" i="4031"/>
  <c r="M127" i="4031"/>
  <c r="L127" i="4031"/>
  <c r="K127" i="4031"/>
  <c r="J127" i="4031"/>
  <c r="I127" i="4031"/>
  <c r="H127" i="4031"/>
  <c r="G127" i="4031"/>
  <c r="F127" i="4031"/>
  <c r="E127" i="4031"/>
  <c r="AR127" i="4030"/>
  <c r="AQ127" i="4030"/>
  <c r="AP127" i="4030"/>
  <c r="AO127" i="4030"/>
  <c r="AN127" i="4030"/>
  <c r="AM127" i="4030"/>
  <c r="AL127" i="4030"/>
  <c r="AK127" i="4030"/>
  <c r="AJ127" i="4030"/>
  <c r="AI127" i="4030"/>
  <c r="AH127" i="4030"/>
  <c r="AG127" i="4030"/>
  <c r="AF127" i="4030"/>
  <c r="AE127" i="4030"/>
  <c r="AD127" i="4030"/>
  <c r="AC127" i="4030"/>
  <c r="AB127" i="4030"/>
  <c r="AA127" i="4030"/>
  <c r="Z127" i="4030"/>
  <c r="Y127" i="4030"/>
  <c r="X127" i="4030"/>
  <c r="W127" i="4030"/>
  <c r="V127" i="4030"/>
  <c r="U127" i="4030"/>
  <c r="T127" i="4030"/>
  <c r="S127" i="4030"/>
  <c r="R127" i="4030"/>
  <c r="Q127" i="4030"/>
  <c r="P127" i="4030"/>
  <c r="O127" i="4030"/>
  <c r="N127" i="4030"/>
  <c r="M127" i="4030"/>
  <c r="L127" i="4030"/>
  <c r="K127" i="4030"/>
  <c r="J127" i="4030"/>
  <c r="I127" i="4030"/>
  <c r="H127" i="4030"/>
  <c r="G127" i="4030"/>
  <c r="F127" i="4030"/>
  <c r="E127" i="4030"/>
  <c r="AR127" i="4029"/>
  <c r="AQ127" i="4029"/>
  <c r="AP127" i="4029"/>
  <c r="AO127" i="4029"/>
  <c r="AN127" i="4029"/>
  <c r="AM127" i="4029"/>
  <c r="AL127" i="4029"/>
  <c r="AK127" i="4029"/>
  <c r="AJ127" i="4029"/>
  <c r="AI127" i="4029"/>
  <c r="AH127" i="4029"/>
  <c r="AG127" i="4029"/>
  <c r="AF127" i="4029"/>
  <c r="AE127" i="4029"/>
  <c r="AD127" i="4029"/>
  <c r="AC127" i="4029"/>
  <c r="AB127" i="4029"/>
  <c r="AA127" i="4029"/>
  <c r="Z127" i="4029"/>
  <c r="Y127" i="4029"/>
  <c r="X127" i="4029"/>
  <c r="W127" i="4029"/>
  <c r="V127" i="4029"/>
  <c r="U127" i="4029"/>
  <c r="T127" i="4029"/>
  <c r="S127" i="4029"/>
  <c r="R127" i="4029"/>
  <c r="Q127" i="4029"/>
  <c r="P127" i="4029"/>
  <c r="O127" i="4029"/>
  <c r="N127" i="4029"/>
  <c r="M127" i="4029"/>
  <c r="L127" i="4029"/>
  <c r="K127" i="4029"/>
  <c r="J127" i="4029"/>
  <c r="I127" i="4029"/>
  <c r="H127" i="4029"/>
  <c r="G127" i="4029"/>
  <c r="F127" i="4029"/>
  <c r="E127" i="4029"/>
  <c r="AR127" i="4028"/>
  <c r="AQ127" i="4028"/>
  <c r="AP127" i="4028"/>
  <c r="AO127" i="4028"/>
  <c r="AN127" i="4028"/>
  <c r="AM127" i="4028"/>
  <c r="AL127" i="4028"/>
  <c r="AK127" i="4028"/>
  <c r="AJ127" i="4028"/>
  <c r="AI127" i="4028"/>
  <c r="AH127" i="4028"/>
  <c r="AG127" i="4028"/>
  <c r="AF127" i="4028"/>
  <c r="AE127" i="4028"/>
  <c r="AD127" i="4028"/>
  <c r="AC127" i="4028"/>
  <c r="AB127" i="4028"/>
  <c r="AA127" i="4028"/>
  <c r="Z127" i="4028"/>
  <c r="Y127" i="4028"/>
  <c r="X127" i="4028"/>
  <c r="W127" i="4028"/>
  <c r="V127" i="4028"/>
  <c r="U127" i="4028"/>
  <c r="T127" i="4028"/>
  <c r="S127" i="4028"/>
  <c r="R127" i="4028"/>
  <c r="Q127" i="4028"/>
  <c r="P127" i="4028"/>
  <c r="O127" i="4028"/>
  <c r="N127" i="4028"/>
  <c r="M127" i="4028"/>
  <c r="L127" i="4028"/>
  <c r="K127" i="4028"/>
  <c r="J127" i="4028"/>
  <c r="I127" i="4028"/>
  <c r="H127" i="4028"/>
  <c r="G127" i="4028"/>
  <c r="F127" i="4028"/>
  <c r="E127" i="4028"/>
  <c r="AR127" i="4027"/>
  <c r="AQ127" i="4027"/>
  <c r="AP127" i="4027"/>
  <c r="AO127" i="4027"/>
  <c r="AN127" i="4027"/>
  <c r="AM127" i="4027"/>
  <c r="AL127" i="4027"/>
  <c r="AK127" i="4027"/>
  <c r="AJ127" i="4027"/>
  <c r="AI127" i="4027"/>
  <c r="AH127" i="4027"/>
  <c r="AG127" i="4027"/>
  <c r="AF127" i="4027"/>
  <c r="AE127" i="4027"/>
  <c r="AD127" i="4027"/>
  <c r="AC127" i="4027"/>
  <c r="AB127" i="4027"/>
  <c r="AA127" i="4027"/>
  <c r="Z127" i="4027"/>
  <c r="Y127" i="4027"/>
  <c r="X127" i="4027"/>
  <c r="W127" i="4027"/>
  <c r="V127" i="4027"/>
  <c r="U127" i="4027"/>
  <c r="T127" i="4027"/>
  <c r="S127" i="4027"/>
  <c r="R127" i="4027"/>
  <c r="Q127" i="4027"/>
  <c r="P127" i="4027"/>
  <c r="O127" i="4027"/>
  <c r="N127" i="4027"/>
  <c r="M127" i="4027"/>
  <c r="L127" i="4027"/>
  <c r="K127" i="4027"/>
  <c r="J127" i="4027"/>
  <c r="I127" i="4027"/>
  <c r="H127" i="4027"/>
  <c r="G127" i="4027"/>
  <c r="F127" i="4027"/>
  <c r="E127" i="4027"/>
  <c r="AR127" i="4026"/>
  <c r="AQ127" i="4026"/>
  <c r="AP127" i="4026"/>
  <c r="AO127" i="4026"/>
  <c r="AN127" i="4026"/>
  <c r="AM127" i="4026"/>
  <c r="AL127" i="4026"/>
  <c r="AK127" i="4026"/>
  <c r="AJ127" i="4026"/>
  <c r="AI127" i="4026"/>
  <c r="AH127" i="4026"/>
  <c r="AG127" i="4026"/>
  <c r="AF127" i="4026"/>
  <c r="AE127" i="4026"/>
  <c r="AD127" i="4026"/>
  <c r="AC127" i="4026"/>
  <c r="AB127" i="4026"/>
  <c r="AA127" i="4026"/>
  <c r="Z127" i="4026"/>
  <c r="Y127" i="4026"/>
  <c r="X127" i="4026"/>
  <c r="W127" i="4026"/>
  <c r="V127" i="4026"/>
  <c r="U127" i="4026"/>
  <c r="T127" i="4026"/>
  <c r="S127" i="4026"/>
  <c r="R127" i="4026"/>
  <c r="Q127" i="4026"/>
  <c r="P127" i="4026"/>
  <c r="O127" i="4026"/>
  <c r="N127" i="4026"/>
  <c r="M127" i="4026"/>
  <c r="L127" i="4026"/>
  <c r="K127" i="4026"/>
  <c r="J127" i="4026"/>
  <c r="I127" i="4026"/>
  <c r="H127" i="4026"/>
  <c r="G127" i="4026"/>
  <c r="F127" i="4026"/>
  <c r="E127" i="4026"/>
  <c r="AR127" i="4025"/>
  <c r="AQ127" i="4025"/>
  <c r="AP127" i="4025"/>
  <c r="AO127" i="4025"/>
  <c r="AN127" i="4025"/>
  <c r="AM127" i="4025"/>
  <c r="AL127" i="4025"/>
  <c r="AK127" i="4025"/>
  <c r="AJ127" i="4025"/>
  <c r="AI127" i="4025"/>
  <c r="AH127" i="4025"/>
  <c r="AG127" i="4025"/>
  <c r="AF127" i="4025"/>
  <c r="AE127" i="4025"/>
  <c r="AD127" i="4025"/>
  <c r="AC127" i="4025"/>
  <c r="AB127" i="4025"/>
  <c r="AA127" i="4025"/>
  <c r="Z127" i="4025"/>
  <c r="Y127" i="4025"/>
  <c r="X127" i="4025"/>
  <c r="W127" i="4025"/>
  <c r="V127" i="4025"/>
  <c r="U127" i="4025"/>
  <c r="T127" i="4025"/>
  <c r="S127" i="4025"/>
  <c r="R127" i="4025"/>
  <c r="Q127" i="4025"/>
  <c r="P127" i="4025"/>
  <c r="O127" i="4025"/>
  <c r="N127" i="4025"/>
  <c r="M127" i="4025"/>
  <c r="L127" i="4025"/>
  <c r="K127" i="4025"/>
  <c r="J127" i="4025"/>
  <c r="I127" i="4025"/>
  <c r="H127" i="4025"/>
  <c r="G127" i="4025"/>
  <c r="F127" i="4025"/>
  <c r="E127" i="4025"/>
  <c r="AR127" i="4024"/>
  <c r="AQ127" i="4024"/>
  <c r="AP127" i="4024"/>
  <c r="AO127" i="4024"/>
  <c r="AN127" i="4024"/>
  <c r="AM127" i="4024"/>
  <c r="AL127" i="4024"/>
  <c r="AK127" i="4024"/>
  <c r="AJ127" i="4024"/>
  <c r="AI127" i="4024"/>
  <c r="AH127" i="4024"/>
  <c r="AG127" i="4024"/>
  <c r="AF127" i="4024"/>
  <c r="AE127" i="4024"/>
  <c r="AD127" i="4024"/>
  <c r="AC127" i="4024"/>
  <c r="AB127" i="4024"/>
  <c r="AA127" i="4024"/>
  <c r="Z127" i="4024"/>
  <c r="Y127" i="4024"/>
  <c r="X127" i="4024"/>
  <c r="W127" i="4024"/>
  <c r="V127" i="4024"/>
  <c r="U127" i="4024"/>
  <c r="T127" i="4024"/>
  <c r="S127" i="4024"/>
  <c r="R127" i="4024"/>
  <c r="Q127" i="4024"/>
  <c r="P127" i="4024"/>
  <c r="O127" i="4024"/>
  <c r="N127" i="4024"/>
  <c r="M127" i="4024"/>
  <c r="L127" i="4024"/>
  <c r="K127" i="4024"/>
  <c r="J127" i="4024"/>
  <c r="I127" i="4024"/>
  <c r="H127" i="4024"/>
  <c r="G127" i="4024"/>
  <c r="F127" i="4024"/>
  <c r="E127" i="4024"/>
  <c r="AR127" i="4023"/>
  <c r="AQ127" i="4023"/>
  <c r="AP127" i="4023"/>
  <c r="AO127" i="4023"/>
  <c r="AN127" i="4023"/>
  <c r="AM127" i="4023"/>
  <c r="AL127" i="4023"/>
  <c r="AK127" i="4023"/>
  <c r="AJ127" i="4023"/>
  <c r="AI127" i="4023"/>
  <c r="AH127" i="4023"/>
  <c r="AG127" i="4023"/>
  <c r="AF127" i="4023"/>
  <c r="AE127" i="4023"/>
  <c r="AD127" i="4023"/>
  <c r="AC127" i="4023"/>
  <c r="AB127" i="4023"/>
  <c r="AA127" i="4023"/>
  <c r="Z127" i="4023"/>
  <c r="Y127" i="4023"/>
  <c r="X127" i="4023"/>
  <c r="W127" i="4023"/>
  <c r="V127" i="4023"/>
  <c r="U127" i="4023"/>
  <c r="T127" i="4023"/>
  <c r="S127" i="4023"/>
  <c r="R127" i="4023"/>
  <c r="Q127" i="4023"/>
  <c r="P127" i="4023"/>
  <c r="O127" i="4023"/>
  <c r="N127" i="4023"/>
  <c r="M127" i="4023"/>
  <c r="L127" i="4023"/>
  <c r="K127" i="4023"/>
  <c r="J127" i="4023"/>
  <c r="I127" i="4023"/>
  <c r="H127" i="4023"/>
  <c r="G127" i="4023"/>
  <c r="F127" i="4023"/>
  <c r="E127" i="4023"/>
  <c r="AR127" i="4038"/>
  <c r="AQ127" i="4038"/>
  <c r="AP127" i="4038"/>
  <c r="AO127" i="4038"/>
  <c r="AN127" i="4038"/>
  <c r="AM127" i="4038"/>
  <c r="AL127" i="4038"/>
  <c r="AK127" i="4038"/>
  <c r="AJ127" i="4038"/>
  <c r="AI127" i="4038"/>
  <c r="AH127" i="4038"/>
  <c r="AG127" i="4038"/>
  <c r="AF127" i="4038"/>
  <c r="AE127" i="4038"/>
  <c r="AD127" i="4038"/>
  <c r="AC127" i="4038"/>
  <c r="AB127" i="4038"/>
  <c r="AA127" i="4038"/>
  <c r="Z127" i="4038"/>
  <c r="Y127" i="4038"/>
  <c r="X127" i="4038"/>
  <c r="W127" i="4038"/>
  <c r="V127" i="4038"/>
  <c r="U127" i="4038"/>
  <c r="T127" i="4038"/>
  <c r="S127" i="4038"/>
  <c r="R127" i="4038"/>
  <c r="Q127" i="4038"/>
  <c r="P127" i="4038"/>
  <c r="O127" i="4038"/>
  <c r="N127" i="4038"/>
  <c r="M127" i="4038"/>
  <c r="L127" i="4038"/>
  <c r="K127" i="4038"/>
  <c r="J127" i="4038"/>
  <c r="I127" i="4038"/>
  <c r="H127" i="4038"/>
  <c r="G127" i="4038"/>
  <c r="F127" i="4038"/>
  <c r="E127" i="4038"/>
  <c r="AR127" i="4022"/>
  <c r="AQ127" i="4022"/>
  <c r="AP127" i="4022"/>
  <c r="AO127" i="4022"/>
  <c r="AN127" i="4022"/>
  <c r="AM127" i="4022"/>
  <c r="AL127" i="4022"/>
  <c r="AK127" i="4022"/>
  <c r="AJ127" i="4022"/>
  <c r="AI127" i="4022"/>
  <c r="AH127" i="4022"/>
  <c r="AG127" i="4022"/>
  <c r="AF127" i="4022"/>
  <c r="AE127" i="4022"/>
  <c r="AD127" i="4022"/>
  <c r="AC127" i="4022"/>
  <c r="AB127" i="4022"/>
  <c r="AA127" i="4022"/>
  <c r="Z127" i="4022"/>
  <c r="Y127" i="4022"/>
  <c r="X127" i="4022"/>
  <c r="W127" i="4022"/>
  <c r="V127" i="4022"/>
  <c r="U127" i="4022"/>
  <c r="T127" i="4022"/>
  <c r="S127" i="4022"/>
  <c r="R127" i="4022"/>
  <c r="Q127" i="4022"/>
  <c r="P127" i="4022"/>
  <c r="O127" i="4022"/>
  <c r="N127" i="4022"/>
  <c r="M127" i="4022"/>
  <c r="L127" i="4022"/>
  <c r="K127" i="4022"/>
  <c r="J127" i="4022"/>
  <c r="I127" i="4022"/>
  <c r="H127" i="4022"/>
  <c r="G127" i="4022"/>
  <c r="F127" i="4022"/>
  <c r="E127" i="4022"/>
  <c r="AR127" i="4020"/>
  <c r="AQ127" i="4020"/>
  <c r="AP127" i="4020"/>
  <c r="AO127" i="4020"/>
  <c r="AN127" i="4020"/>
  <c r="AM127" i="4020"/>
  <c r="AL127" i="4020"/>
  <c r="AK127" i="4020"/>
  <c r="AJ127" i="4020"/>
  <c r="AI127" i="4020"/>
  <c r="AH127" i="4020"/>
  <c r="AG127" i="4020"/>
  <c r="AF127" i="4020"/>
  <c r="AE127" i="4020"/>
  <c r="AD127" i="4020"/>
  <c r="AC127" i="4020"/>
  <c r="AB127" i="4020"/>
  <c r="AA127" i="4020"/>
  <c r="Z127" i="4020"/>
  <c r="Y127" i="4020"/>
  <c r="X127" i="4020"/>
  <c r="W127" i="4020"/>
  <c r="V127" i="4020"/>
  <c r="U127" i="4020"/>
  <c r="T127" i="4020"/>
  <c r="S127" i="4020"/>
  <c r="R127" i="4020"/>
  <c r="Q127" i="4020"/>
  <c r="P127" i="4020"/>
  <c r="O127" i="4020"/>
  <c r="N127" i="4020"/>
  <c r="M127" i="4020"/>
  <c r="L127" i="4020"/>
  <c r="K127" i="4020"/>
  <c r="J127" i="4020"/>
  <c r="I127" i="4020"/>
  <c r="H127" i="4020"/>
  <c r="G127" i="4020"/>
  <c r="F127" i="4020"/>
  <c r="E127" i="4020"/>
  <c r="AR127" i="4019"/>
  <c r="AQ127" i="4019"/>
  <c r="AP127" i="4019"/>
  <c r="AO127" i="4019"/>
  <c r="AN127" i="4019"/>
  <c r="AM127" i="4019"/>
  <c r="AL127" i="4019"/>
  <c r="AK127" i="4019"/>
  <c r="AJ127" i="4019"/>
  <c r="AI127" i="4019"/>
  <c r="AH127" i="4019"/>
  <c r="AG127" i="4019"/>
  <c r="AF127" i="4019"/>
  <c r="AE127" i="4019"/>
  <c r="AD127" i="4019"/>
  <c r="AC127" i="4019"/>
  <c r="AB127" i="4019"/>
  <c r="AA127" i="4019"/>
  <c r="Z127" i="4019"/>
  <c r="Y127" i="4019"/>
  <c r="X127" i="4019"/>
  <c r="W127" i="4019"/>
  <c r="V127" i="4019"/>
  <c r="U127" i="4019"/>
  <c r="T127" i="4019"/>
  <c r="S127" i="4019"/>
  <c r="R127" i="4019"/>
  <c r="Q127" i="4019"/>
  <c r="P127" i="4019"/>
  <c r="O127" i="4019"/>
  <c r="N127" i="4019"/>
  <c r="M127" i="4019"/>
  <c r="L127" i="4019"/>
  <c r="K127" i="4019"/>
  <c r="J127" i="4019"/>
  <c r="I127" i="4019"/>
  <c r="H127" i="4019"/>
  <c r="G127" i="4019"/>
  <c r="F127" i="4019"/>
  <c r="E127" i="4019"/>
  <c r="AR127" i="4018"/>
  <c r="AQ127" i="4018"/>
  <c r="AP127" i="4018"/>
  <c r="AO127" i="4018"/>
  <c r="AN127" i="4018"/>
  <c r="AM127" i="4018"/>
  <c r="AL127" i="4018"/>
  <c r="AK127" i="4018"/>
  <c r="AJ127" i="4018"/>
  <c r="AI127" i="4018"/>
  <c r="AH127" i="4018"/>
  <c r="AG127" i="4018"/>
  <c r="AF127" i="4018"/>
  <c r="AE127" i="4018"/>
  <c r="AD127" i="4018"/>
  <c r="AC127" i="4018"/>
  <c r="AB127" i="4018"/>
  <c r="AA127" i="4018"/>
  <c r="Z127" i="4018"/>
  <c r="Y127" i="4018"/>
  <c r="X127" i="4018"/>
  <c r="W127" i="4018"/>
  <c r="V127" i="4018"/>
  <c r="U127" i="4018"/>
  <c r="T127" i="4018"/>
  <c r="S127" i="4018"/>
  <c r="R127" i="4018"/>
  <c r="Q127" i="4018"/>
  <c r="P127" i="4018"/>
  <c r="O127" i="4018"/>
  <c r="N127" i="4018"/>
  <c r="M127" i="4018"/>
  <c r="L127" i="4018"/>
  <c r="K127" i="4018"/>
  <c r="J127" i="4018"/>
  <c r="I127" i="4018"/>
  <c r="H127" i="4018"/>
  <c r="G127" i="4018"/>
  <c r="F127" i="4018"/>
  <c r="E127" i="4018"/>
  <c r="E127" i="4037"/>
  <c r="AR127" i="4021"/>
  <c r="AQ127" i="4021"/>
  <c r="AP127" i="4021"/>
  <c r="AO127" i="4021"/>
  <c r="AN127" i="4021"/>
  <c r="AM127" i="4021"/>
  <c r="AL127" i="4021"/>
  <c r="AK127" i="4021"/>
  <c r="AJ127" i="4021"/>
  <c r="AI127" i="4021"/>
  <c r="AH127" i="4021"/>
  <c r="AG127" i="4021"/>
  <c r="AF127" i="4021"/>
  <c r="AE127" i="4021"/>
  <c r="AD127" i="4021"/>
  <c r="AC127" i="4021"/>
  <c r="AB127" i="4021"/>
  <c r="AA127" i="4021"/>
  <c r="Z127" i="4021"/>
  <c r="Y127" i="4021"/>
  <c r="X127" i="4021"/>
  <c r="W127" i="4021"/>
  <c r="V127" i="4021"/>
  <c r="U127" i="4021"/>
  <c r="T127" i="4021"/>
  <c r="S127" i="4021"/>
  <c r="R127" i="4021"/>
  <c r="Q127" i="4021"/>
  <c r="P127" i="4021"/>
  <c r="O127" i="4021"/>
  <c r="N127" i="4021"/>
  <c r="M127" i="4021"/>
  <c r="L127" i="4021"/>
  <c r="K127" i="4021"/>
  <c r="J127" i="4021"/>
  <c r="I127" i="4021"/>
  <c r="H127" i="4021"/>
  <c r="G127" i="4021"/>
  <c r="F127" i="4021"/>
  <c r="E127" i="4021"/>
  <c r="B177" i="4035"/>
  <c r="B176" i="4035"/>
  <c r="B175" i="4035"/>
  <c r="D174" i="4035"/>
  <c r="C174" i="4035"/>
  <c r="D173" i="4035"/>
  <c r="C173" i="4035"/>
  <c r="D172" i="4035"/>
  <c r="C172" i="4035"/>
  <c r="D171" i="4035"/>
  <c r="C171" i="4035"/>
  <c r="D170" i="4035"/>
  <c r="B170" i="4035"/>
  <c r="D169" i="4035"/>
  <c r="B169" i="4035"/>
  <c r="D168" i="4035"/>
  <c r="D167" i="4035"/>
  <c r="C167" i="4035"/>
  <c r="D166" i="4035"/>
  <c r="C166" i="4035"/>
  <c r="D165" i="4035"/>
  <c r="D164" i="4035"/>
  <c r="B177" i="4034"/>
  <c r="B176" i="4034"/>
  <c r="B175" i="4034"/>
  <c r="D174" i="4034"/>
  <c r="C174" i="4034"/>
  <c r="D173" i="4034"/>
  <c r="C173" i="4034"/>
  <c r="D172" i="4034"/>
  <c r="C172" i="4034"/>
  <c r="D171" i="4034"/>
  <c r="C171" i="4034"/>
  <c r="D170" i="4034"/>
  <c r="B170" i="4034"/>
  <c r="D169" i="4034"/>
  <c r="B169" i="4034"/>
  <c r="D168" i="4034"/>
  <c r="D167" i="4034"/>
  <c r="C167" i="4034"/>
  <c r="D166" i="4034"/>
  <c r="C166" i="4034"/>
  <c r="D165" i="4034"/>
  <c r="D164" i="4034"/>
  <c r="B177" i="4033"/>
  <c r="B176" i="4033"/>
  <c r="B175" i="4033"/>
  <c r="D174" i="4033"/>
  <c r="C174" i="4033"/>
  <c r="D173" i="4033"/>
  <c r="C173" i="4033"/>
  <c r="D172" i="4033"/>
  <c r="C172" i="4033"/>
  <c r="D171" i="4033"/>
  <c r="C171" i="4033"/>
  <c r="D170" i="4033"/>
  <c r="B170" i="4033"/>
  <c r="D169" i="4033"/>
  <c r="B169" i="4033"/>
  <c r="D168" i="4033"/>
  <c r="D167" i="4033"/>
  <c r="C167" i="4033"/>
  <c r="D166" i="4033"/>
  <c r="C166" i="4033"/>
  <c r="D165" i="4033"/>
  <c r="D164" i="4033"/>
  <c r="B177" i="4032"/>
  <c r="B176" i="4032"/>
  <c r="B175" i="4032"/>
  <c r="D174" i="4032"/>
  <c r="C174" i="4032"/>
  <c r="D173" i="4032"/>
  <c r="C173" i="4032"/>
  <c r="D172" i="4032"/>
  <c r="C172" i="4032"/>
  <c r="D171" i="4032"/>
  <c r="C171" i="4032"/>
  <c r="D170" i="4032"/>
  <c r="B170" i="4032"/>
  <c r="D169" i="4032"/>
  <c r="C169" i="4032"/>
  <c r="B169" i="4032"/>
  <c r="D168" i="4032"/>
  <c r="D167" i="4032"/>
  <c r="C167" i="4032"/>
  <c r="D166" i="4032"/>
  <c r="C166" i="4032"/>
  <c r="D165" i="4032"/>
  <c r="D164" i="4032"/>
  <c r="B177" i="4031"/>
  <c r="B176" i="4031"/>
  <c r="B175" i="4031"/>
  <c r="D174" i="4031"/>
  <c r="C174" i="4031"/>
  <c r="D173" i="4031"/>
  <c r="C173" i="4031"/>
  <c r="D172" i="4031"/>
  <c r="C172" i="4031"/>
  <c r="D171" i="4031"/>
  <c r="C171" i="4031"/>
  <c r="D170" i="4031"/>
  <c r="B170" i="4031"/>
  <c r="D169" i="4031"/>
  <c r="B169" i="4031"/>
  <c r="D168" i="4031"/>
  <c r="D167" i="4031"/>
  <c r="C167" i="4031"/>
  <c r="D166" i="4031"/>
  <c r="C166" i="4031"/>
  <c r="D165" i="4031"/>
  <c r="D164" i="4031"/>
  <c r="B177" i="4030"/>
  <c r="B176" i="4030"/>
  <c r="B175" i="4030"/>
  <c r="D174" i="4030"/>
  <c r="C174" i="4030"/>
  <c r="D173" i="4030"/>
  <c r="C173" i="4030"/>
  <c r="D172" i="4030"/>
  <c r="C172" i="4030"/>
  <c r="D171" i="4030"/>
  <c r="C171" i="4030"/>
  <c r="D170" i="4030"/>
  <c r="B170" i="4030"/>
  <c r="D169" i="4030"/>
  <c r="B169" i="4030"/>
  <c r="D168" i="4030"/>
  <c r="D167" i="4030"/>
  <c r="C167" i="4030"/>
  <c r="D166" i="4030"/>
  <c r="C166" i="4030"/>
  <c r="D165" i="4030"/>
  <c r="D164" i="4030"/>
  <c r="B177" i="4029"/>
  <c r="B176" i="4029"/>
  <c r="B175" i="4029"/>
  <c r="D174" i="4029"/>
  <c r="C174" i="4029"/>
  <c r="D173" i="4029"/>
  <c r="C173" i="4029"/>
  <c r="D172" i="4029"/>
  <c r="C172" i="4029"/>
  <c r="D171" i="4029"/>
  <c r="C171" i="4029"/>
  <c r="D170" i="4029"/>
  <c r="B170" i="4029"/>
  <c r="D169" i="4029"/>
  <c r="C169" i="4029"/>
  <c r="B169" i="4029"/>
  <c r="D168" i="4029"/>
  <c r="D167" i="4029"/>
  <c r="C167" i="4029"/>
  <c r="D166" i="4029"/>
  <c r="C166" i="4029"/>
  <c r="D165" i="4029"/>
  <c r="D164" i="4029"/>
  <c r="B177" i="4028"/>
  <c r="B176" i="4028"/>
  <c r="B175" i="4028"/>
  <c r="D174" i="4028"/>
  <c r="C174" i="4028"/>
  <c r="D173" i="4028"/>
  <c r="C173" i="4028"/>
  <c r="D172" i="4028"/>
  <c r="C172" i="4028"/>
  <c r="D171" i="4028"/>
  <c r="C171" i="4028"/>
  <c r="D170" i="4028"/>
  <c r="B170" i="4028"/>
  <c r="D169" i="4028"/>
  <c r="C169" i="4028"/>
  <c r="B169" i="4028"/>
  <c r="D168" i="4028"/>
  <c r="D167" i="4028"/>
  <c r="C167" i="4028"/>
  <c r="D166" i="4028"/>
  <c r="C166" i="4028"/>
  <c r="D165" i="4028"/>
  <c r="D164" i="4028"/>
  <c r="B177" i="4027"/>
  <c r="B176" i="4027"/>
  <c r="B175" i="4027"/>
  <c r="D174" i="4027"/>
  <c r="C174" i="4027"/>
  <c r="D173" i="4027"/>
  <c r="C173" i="4027"/>
  <c r="D172" i="4027"/>
  <c r="C172" i="4027"/>
  <c r="D171" i="4027"/>
  <c r="C171" i="4027"/>
  <c r="D170" i="4027"/>
  <c r="B170" i="4027"/>
  <c r="D169" i="4027"/>
  <c r="B169" i="4027"/>
  <c r="D168" i="4027"/>
  <c r="D167" i="4027"/>
  <c r="C167" i="4027"/>
  <c r="D166" i="4027"/>
  <c r="C166" i="4027"/>
  <c r="D165" i="4027"/>
  <c r="D164" i="4027"/>
  <c r="B177" i="4026"/>
  <c r="B176" i="4026"/>
  <c r="B175" i="4026"/>
  <c r="D174" i="4026"/>
  <c r="C174" i="4026"/>
  <c r="D173" i="4026"/>
  <c r="C173" i="4026"/>
  <c r="D172" i="4026"/>
  <c r="C172" i="4026"/>
  <c r="D171" i="4026"/>
  <c r="C171" i="4026"/>
  <c r="D170" i="4026"/>
  <c r="B170" i="4026"/>
  <c r="D169" i="4026"/>
  <c r="B169" i="4026"/>
  <c r="D168" i="4026"/>
  <c r="D167" i="4026"/>
  <c r="C167" i="4026"/>
  <c r="D166" i="4026"/>
  <c r="C166" i="4026"/>
  <c r="D165" i="4026"/>
  <c r="D164" i="4026"/>
  <c r="B177" i="4025"/>
  <c r="B176" i="4025"/>
  <c r="B175" i="4025"/>
  <c r="D174" i="4025"/>
  <c r="C174" i="4025"/>
  <c r="D173" i="4025"/>
  <c r="C173" i="4025"/>
  <c r="D172" i="4025"/>
  <c r="C172" i="4025"/>
  <c r="D171" i="4025"/>
  <c r="C171" i="4025"/>
  <c r="D170" i="4025"/>
  <c r="B170" i="4025"/>
  <c r="D169" i="4025"/>
  <c r="B169" i="4025"/>
  <c r="D168" i="4025"/>
  <c r="D167" i="4025"/>
  <c r="C167" i="4025"/>
  <c r="D166" i="4025"/>
  <c r="C166" i="4025"/>
  <c r="D165" i="4025"/>
  <c r="D164" i="4025"/>
  <c r="B177" i="4024"/>
  <c r="B176" i="4024"/>
  <c r="B175" i="4024"/>
  <c r="D174" i="4024"/>
  <c r="C174" i="4024"/>
  <c r="D173" i="4024"/>
  <c r="C173" i="4024"/>
  <c r="D172" i="4024"/>
  <c r="C172" i="4024"/>
  <c r="D171" i="4024"/>
  <c r="C171" i="4024"/>
  <c r="D170" i="4024"/>
  <c r="B170" i="4024"/>
  <c r="D169" i="4024"/>
  <c r="C169" i="4024"/>
  <c r="B169" i="4024"/>
  <c r="D168" i="4024"/>
  <c r="D167" i="4024"/>
  <c r="C167" i="4024"/>
  <c r="D166" i="4024"/>
  <c r="C166" i="4024"/>
  <c r="D165" i="4024"/>
  <c r="D164" i="4024"/>
  <c r="B175" i="4023"/>
  <c r="B177" i="4023"/>
  <c r="B176" i="4023"/>
  <c r="B177" i="4038"/>
  <c r="B176" i="4038"/>
  <c r="B175" i="4038"/>
  <c r="B177" i="4022"/>
  <c r="B176" i="4022"/>
  <c r="B175" i="4022"/>
  <c r="B177" i="4037"/>
  <c r="B176" i="4037"/>
  <c r="B175" i="4037"/>
  <c r="B177" i="4021"/>
  <c r="B176" i="4021"/>
  <c r="B175" i="4021"/>
  <c r="B177" i="4020"/>
  <c r="B176" i="4020"/>
  <c r="B175" i="4020"/>
  <c r="B177" i="4019"/>
  <c r="B176" i="4019"/>
  <c r="B175" i="4019"/>
  <c r="B175" i="4018"/>
  <c r="B178" i="4019"/>
  <c r="C172" i="4019"/>
  <c r="C171" i="4019"/>
  <c r="B170" i="4019"/>
  <c r="B169" i="4019"/>
  <c r="C164" i="4019"/>
  <c r="B177" i="4018"/>
  <c r="B176" i="4018"/>
  <c r="J1" i="149"/>
  <c r="C172" i="4018"/>
  <c r="C171" i="4018"/>
  <c r="C164" i="4018"/>
  <c r="E12" i="4018"/>
  <c r="H7" i="149"/>
  <c r="C166" i="4018" s="1"/>
  <c r="H5" i="149"/>
  <c r="F7" i="149"/>
  <c r="C173" i="4018" s="1"/>
  <c r="F5" i="149"/>
  <c r="D9" i="149"/>
  <c r="J9" i="149" s="1"/>
  <c r="C177" i="4018" s="1"/>
  <c r="C174" i="4036"/>
  <c r="C173" i="4036"/>
  <c r="C172" i="4036"/>
  <c r="C171" i="4036"/>
  <c r="C167" i="4036"/>
  <c r="C166" i="4036"/>
  <c r="D12" i="4036"/>
  <c r="H3" i="149"/>
  <c r="C164" i="4036" s="1"/>
  <c r="F3" i="149"/>
  <c r="C168" i="4036" s="1"/>
  <c r="D3" i="149"/>
  <c r="C175" i="4036" s="1"/>
  <c r="D38" i="149"/>
  <c r="I8" i="65"/>
  <c r="AA18" i="65"/>
  <c r="AA26" i="65"/>
  <c r="U16" i="65"/>
  <c r="E8" i="65"/>
  <c r="AA17" i="65"/>
  <c r="AA30" i="65"/>
  <c r="AA19" i="65"/>
  <c r="F8" i="65"/>
  <c r="Y22" i="65"/>
  <c r="AA25" i="65"/>
  <c r="AA20" i="65"/>
  <c r="Y21" i="65"/>
  <c r="AA21" i="65"/>
  <c r="Y28" i="65"/>
  <c r="AA23" i="65"/>
  <c r="E23" i="65"/>
  <c r="Y17" i="65"/>
  <c r="AA22" i="65"/>
  <c r="AA27" i="65"/>
  <c r="U9" i="65"/>
  <c r="AA24" i="65"/>
  <c r="AA28" i="65"/>
  <c r="Y25" i="65"/>
  <c r="U25" i="65"/>
  <c r="L8" i="65"/>
  <c r="C169" i="4018" l="1"/>
  <c r="C169" i="4025"/>
  <c r="C169" i="4033"/>
  <c r="C169" i="4026"/>
  <c r="C169" i="4030"/>
  <c r="C169" i="4034"/>
  <c r="C169" i="4027"/>
  <c r="C169" i="4031"/>
  <c r="J3" i="149"/>
  <c r="C169" i="4036"/>
  <c r="Y30" i="65"/>
  <c r="Y23" i="65"/>
  <c r="Y20" i="65"/>
  <c r="Y24" i="65"/>
  <c r="Y8" i="65"/>
  <c r="Y26" i="65"/>
  <c r="O8" i="65"/>
  <c r="Y27" i="65"/>
  <c r="Y19" i="65"/>
  <c r="Y18" i="65"/>
  <c r="B178" i="4038" l="1"/>
  <c r="C172" i="4038"/>
  <c r="C171" i="4038"/>
  <c r="B170" i="4038"/>
  <c r="B169" i="4038"/>
  <c r="B178" i="4022"/>
  <c r="C172" i="4022"/>
  <c r="C171" i="4022"/>
  <c r="B170" i="4022"/>
  <c r="B169" i="4022"/>
  <c r="B178" i="4037"/>
  <c r="C172" i="4037"/>
  <c r="C171" i="4037"/>
  <c r="B170" i="4037"/>
  <c r="B169" i="4037"/>
  <c r="D178" i="4038"/>
  <c r="D174" i="4038"/>
  <c r="D173" i="4038"/>
  <c r="D172" i="4038"/>
  <c r="D171" i="4038"/>
  <c r="D170" i="4038"/>
  <c r="D169" i="4038"/>
  <c r="D168" i="4038"/>
  <c r="D167" i="4038"/>
  <c r="D166" i="4038"/>
  <c r="D165" i="4038"/>
  <c r="D164" i="4038"/>
  <c r="C164" i="4038"/>
  <c r="D178" i="4022"/>
  <c r="D174" i="4022"/>
  <c r="D173" i="4022"/>
  <c r="D172" i="4022"/>
  <c r="D171" i="4022"/>
  <c r="D170" i="4022"/>
  <c r="D169" i="4022"/>
  <c r="D168" i="4022"/>
  <c r="D167" i="4022"/>
  <c r="D166" i="4022"/>
  <c r="D165" i="4022"/>
  <c r="D164" i="4022"/>
  <c r="C164" i="4022"/>
  <c r="D178" i="4037"/>
  <c r="D174" i="4037"/>
  <c r="D173" i="4037"/>
  <c r="D172" i="4037"/>
  <c r="D171" i="4037"/>
  <c r="D170" i="4037"/>
  <c r="D169" i="4037"/>
  <c r="D168" i="4037"/>
  <c r="D167" i="4037"/>
  <c r="D166" i="4037"/>
  <c r="D165" i="4037"/>
  <c r="D164" i="4037"/>
  <c r="C164" i="4037"/>
  <c r="B178" i="4021"/>
  <c r="C172" i="4021"/>
  <c r="C171" i="4021"/>
  <c r="B170" i="4021"/>
  <c r="B169" i="4021"/>
  <c r="B178" i="4020"/>
  <c r="C172" i="4020"/>
  <c r="C171" i="4020"/>
  <c r="B170" i="4020"/>
  <c r="B169" i="4020"/>
  <c r="B178" i="4018"/>
  <c r="B170" i="4018"/>
  <c r="B169" i="4018"/>
  <c r="D178" i="4021"/>
  <c r="D174" i="4021"/>
  <c r="D173" i="4021"/>
  <c r="D172" i="4021"/>
  <c r="D171" i="4021"/>
  <c r="D170" i="4021"/>
  <c r="D169" i="4021"/>
  <c r="D168" i="4021"/>
  <c r="D167" i="4021"/>
  <c r="D166" i="4021"/>
  <c r="D165" i="4021"/>
  <c r="D164" i="4021"/>
  <c r="C164" i="4021"/>
  <c r="D178" i="4020"/>
  <c r="D174" i="4020"/>
  <c r="D173" i="4020"/>
  <c r="D172" i="4020"/>
  <c r="D171" i="4020"/>
  <c r="D170" i="4020"/>
  <c r="D169" i="4020"/>
  <c r="D168" i="4020"/>
  <c r="D167" i="4020"/>
  <c r="D166" i="4020"/>
  <c r="D165" i="4020"/>
  <c r="D164" i="4020"/>
  <c r="C164" i="4020"/>
  <c r="D177" i="4019"/>
  <c r="D176" i="4019"/>
  <c r="D175" i="4019"/>
  <c r="D178" i="4019"/>
  <c r="D174" i="4019"/>
  <c r="D173" i="4019"/>
  <c r="D172" i="4019"/>
  <c r="D171" i="4019"/>
  <c r="D170" i="4019"/>
  <c r="D169" i="4019"/>
  <c r="D168" i="4019"/>
  <c r="D167" i="4019"/>
  <c r="D166" i="4019"/>
  <c r="D165" i="4019"/>
  <c r="D164" i="4019"/>
  <c r="D178" i="4018"/>
  <c r="D177" i="4018"/>
  <c r="D176" i="4018"/>
  <c r="D175" i="4018"/>
  <c r="D174" i="4018"/>
  <c r="D173" i="4018"/>
  <c r="D172" i="4018"/>
  <c r="D171" i="4018"/>
  <c r="D170" i="4018"/>
  <c r="D169" i="4018"/>
  <c r="D168" i="4018"/>
  <c r="D167" i="4018"/>
  <c r="D166" i="4018"/>
  <c r="D165" i="4018"/>
  <c r="D164" i="4018"/>
  <c r="C81" i="4035"/>
  <c r="C81" i="4034"/>
  <c r="C81" i="4033"/>
  <c r="C81" i="4032"/>
  <c r="C81" i="4031"/>
  <c r="C81" i="4030"/>
  <c r="C81" i="4029"/>
  <c r="C30" i="4029"/>
  <c r="C81" i="4028"/>
  <c r="C81" i="4027"/>
  <c r="C81" i="4026"/>
  <c r="C81" i="4025"/>
  <c r="C81" i="4024"/>
  <c r="H11" i="149"/>
  <c r="C167" i="4038" s="1"/>
  <c r="F11" i="149"/>
  <c r="C174" i="4021" s="1"/>
  <c r="AA14" i="65"/>
  <c r="C167" i="4021" l="1"/>
  <c r="C174" i="4022"/>
  <c r="C174" i="4037"/>
  <c r="C174" i="4020"/>
  <c r="C167" i="4022"/>
  <c r="C174" i="4038"/>
  <c r="C167" i="4020"/>
  <c r="C167" i="4037"/>
  <c r="AR108" i="4036"/>
  <c r="AQ108" i="4036"/>
  <c r="AP108" i="4036"/>
  <c r="AO108" i="4036"/>
  <c r="AN108" i="4036"/>
  <c r="AM108" i="4036"/>
  <c r="AL108" i="4036"/>
  <c r="AK108" i="4036"/>
  <c r="AJ108" i="4036"/>
  <c r="AI108" i="4036"/>
  <c r="AH108" i="4036"/>
  <c r="AG108" i="4036"/>
  <c r="AF108" i="4036"/>
  <c r="AE108" i="4036"/>
  <c r="AD108" i="4036"/>
  <c r="AC108" i="4036"/>
  <c r="AB108" i="4036"/>
  <c r="AA108" i="4036"/>
  <c r="Z108" i="4036"/>
  <c r="Y108" i="4036"/>
  <c r="X108" i="4036"/>
  <c r="W108" i="4036"/>
  <c r="V108" i="4036"/>
  <c r="U108" i="4036"/>
  <c r="T108" i="4036"/>
  <c r="AR107" i="4036"/>
  <c r="AQ107" i="4036"/>
  <c r="AP107" i="4036"/>
  <c r="AO107" i="4036"/>
  <c r="AN107" i="4036"/>
  <c r="AM107" i="4036"/>
  <c r="AL107" i="4036"/>
  <c r="AK107" i="4036"/>
  <c r="AJ107" i="4036"/>
  <c r="AI107" i="4036"/>
  <c r="AH107" i="4036"/>
  <c r="AG107" i="4036"/>
  <c r="AF107" i="4036"/>
  <c r="AE107" i="4036"/>
  <c r="AD107" i="4036"/>
  <c r="AC107" i="4036"/>
  <c r="AB107" i="4036"/>
  <c r="AA107" i="4036"/>
  <c r="Z107" i="4036"/>
  <c r="Y107" i="4036"/>
  <c r="X107" i="4036"/>
  <c r="W107" i="4036"/>
  <c r="V107" i="4036"/>
  <c r="U107" i="4036"/>
  <c r="T107" i="4036"/>
  <c r="S107" i="4036"/>
  <c r="R107" i="4036"/>
  <c r="Q107" i="4036"/>
  <c r="P107" i="4036"/>
  <c r="O107" i="4036"/>
  <c r="N107" i="4036"/>
  <c r="M107" i="4036"/>
  <c r="L107" i="4036"/>
  <c r="K107" i="4036"/>
  <c r="J107" i="4036"/>
  <c r="I107" i="4036"/>
  <c r="H107" i="4036"/>
  <c r="G107" i="4036"/>
  <c r="F107" i="4036"/>
  <c r="AR108" i="4035"/>
  <c r="AQ108" i="4035"/>
  <c r="AP108" i="4035"/>
  <c r="AO108" i="4035"/>
  <c r="AN108" i="4035"/>
  <c r="AM108" i="4035"/>
  <c r="AL108" i="4035"/>
  <c r="AK108" i="4035"/>
  <c r="AJ108" i="4035"/>
  <c r="AI108" i="4035"/>
  <c r="AH108" i="4035"/>
  <c r="AG108" i="4035"/>
  <c r="AF108" i="4035"/>
  <c r="AE108" i="4035"/>
  <c r="AD108" i="4035"/>
  <c r="AC108" i="4035"/>
  <c r="AB108" i="4035"/>
  <c r="AA108" i="4035"/>
  <c r="Z108" i="4035"/>
  <c r="Y108" i="4035"/>
  <c r="AR107" i="4035"/>
  <c r="AQ107" i="4035"/>
  <c r="AP107" i="4035"/>
  <c r="AO107" i="4035"/>
  <c r="AN107" i="4035"/>
  <c r="AM107" i="4035"/>
  <c r="AL107" i="4035"/>
  <c r="AK107" i="4035"/>
  <c r="AJ107" i="4035"/>
  <c r="AI107" i="4035"/>
  <c r="AH107" i="4035"/>
  <c r="AG107" i="4035"/>
  <c r="AF107" i="4035"/>
  <c r="AE107" i="4035"/>
  <c r="AD107" i="4035"/>
  <c r="AC107" i="4035"/>
  <c r="AB107" i="4035"/>
  <c r="AA107" i="4035"/>
  <c r="Z107" i="4035"/>
  <c r="Y107" i="4035"/>
  <c r="X107" i="4035"/>
  <c r="W107" i="4035"/>
  <c r="V107" i="4035"/>
  <c r="U107" i="4035"/>
  <c r="T107" i="4035"/>
  <c r="S107" i="4035"/>
  <c r="R107" i="4035"/>
  <c r="Q107" i="4035"/>
  <c r="P107" i="4035"/>
  <c r="O107" i="4035"/>
  <c r="N107" i="4035"/>
  <c r="M107" i="4035"/>
  <c r="L107" i="4035"/>
  <c r="K107" i="4035"/>
  <c r="J107" i="4035"/>
  <c r="I107" i="4035"/>
  <c r="H107" i="4035"/>
  <c r="G107" i="4035"/>
  <c r="F107" i="4035"/>
  <c r="AR108" i="4034"/>
  <c r="AQ108" i="4034"/>
  <c r="AP108" i="4034"/>
  <c r="AO108" i="4034"/>
  <c r="AN108" i="4034"/>
  <c r="AM108" i="4034"/>
  <c r="AL108" i="4034"/>
  <c r="AK108" i="4034"/>
  <c r="AJ108" i="4034"/>
  <c r="AI108" i="4034"/>
  <c r="AH108" i="4034"/>
  <c r="AG108" i="4034"/>
  <c r="AF108" i="4034"/>
  <c r="AE108" i="4034"/>
  <c r="AD108" i="4034"/>
  <c r="AC108" i="4034"/>
  <c r="AB108" i="4034"/>
  <c r="AA108" i="4034"/>
  <c r="Z108" i="4034"/>
  <c r="Y108" i="4034"/>
  <c r="AR107" i="4034"/>
  <c r="AQ107" i="4034"/>
  <c r="AP107" i="4034"/>
  <c r="AO107" i="4034"/>
  <c r="AN107" i="4034"/>
  <c r="AM107" i="4034"/>
  <c r="AL107" i="4034"/>
  <c r="AK107" i="4034"/>
  <c r="AJ107" i="4034"/>
  <c r="AI107" i="4034"/>
  <c r="AH107" i="4034"/>
  <c r="AG107" i="4034"/>
  <c r="AF107" i="4034"/>
  <c r="AE107" i="4034"/>
  <c r="AD107" i="4034"/>
  <c r="AC107" i="4034"/>
  <c r="AB107" i="4034"/>
  <c r="AA107" i="4034"/>
  <c r="Z107" i="4034"/>
  <c r="Y107" i="4034"/>
  <c r="X107" i="4034"/>
  <c r="W107" i="4034"/>
  <c r="V107" i="4034"/>
  <c r="U107" i="4034"/>
  <c r="T107" i="4034"/>
  <c r="S107" i="4034"/>
  <c r="R107" i="4034"/>
  <c r="Q107" i="4034"/>
  <c r="P107" i="4034"/>
  <c r="O107" i="4034"/>
  <c r="N107" i="4034"/>
  <c r="M107" i="4034"/>
  <c r="L107" i="4034"/>
  <c r="K107" i="4034"/>
  <c r="J107" i="4034"/>
  <c r="I107" i="4034"/>
  <c r="H107" i="4034"/>
  <c r="G107" i="4034"/>
  <c r="F107" i="4034"/>
  <c r="AR108" i="4033"/>
  <c r="AQ108" i="4033"/>
  <c r="AP108" i="4033"/>
  <c r="AO108" i="4033"/>
  <c r="AN108" i="4033"/>
  <c r="AM108" i="4033"/>
  <c r="AL108" i="4033"/>
  <c r="AK108" i="4033"/>
  <c r="AJ108" i="4033"/>
  <c r="AI108" i="4033"/>
  <c r="AH108" i="4033"/>
  <c r="AG108" i="4033"/>
  <c r="AF108" i="4033"/>
  <c r="AE108" i="4033"/>
  <c r="AD108" i="4033"/>
  <c r="AC108" i="4033"/>
  <c r="AB108" i="4033"/>
  <c r="AA108" i="4033"/>
  <c r="Z108" i="4033"/>
  <c r="Y108" i="4033"/>
  <c r="AR107" i="4033"/>
  <c r="AQ107" i="4033"/>
  <c r="AP107" i="4033"/>
  <c r="AO107" i="4033"/>
  <c r="AN107" i="4033"/>
  <c r="AM107" i="4033"/>
  <c r="AL107" i="4033"/>
  <c r="AK107" i="4033"/>
  <c r="AJ107" i="4033"/>
  <c r="AI107" i="4033"/>
  <c r="AH107" i="4033"/>
  <c r="AG107" i="4033"/>
  <c r="AF107" i="4033"/>
  <c r="AE107" i="4033"/>
  <c r="AD107" i="4033"/>
  <c r="AC107" i="4033"/>
  <c r="AB107" i="4033"/>
  <c r="AA107" i="4033"/>
  <c r="Z107" i="4033"/>
  <c r="Y107" i="4033"/>
  <c r="X107" i="4033"/>
  <c r="W107" i="4033"/>
  <c r="V107" i="4033"/>
  <c r="U107" i="4033"/>
  <c r="T107" i="4033"/>
  <c r="S107" i="4033"/>
  <c r="R107" i="4033"/>
  <c r="Q107" i="4033"/>
  <c r="P107" i="4033"/>
  <c r="O107" i="4033"/>
  <c r="N107" i="4033"/>
  <c r="M107" i="4033"/>
  <c r="L107" i="4033"/>
  <c r="K107" i="4033"/>
  <c r="J107" i="4033"/>
  <c r="I107" i="4033"/>
  <c r="H107" i="4033"/>
  <c r="G107" i="4033"/>
  <c r="F107" i="4033"/>
  <c r="AR108" i="4032"/>
  <c r="AQ108" i="4032"/>
  <c r="AP108" i="4032"/>
  <c r="AO108" i="4032"/>
  <c r="AN108" i="4032"/>
  <c r="AM108" i="4032"/>
  <c r="AL108" i="4032"/>
  <c r="AK108" i="4032"/>
  <c r="AJ108" i="4032"/>
  <c r="AI108" i="4032"/>
  <c r="AH108" i="4032"/>
  <c r="AG108" i="4032"/>
  <c r="AF108" i="4032"/>
  <c r="AE108" i="4032"/>
  <c r="AD108" i="4032"/>
  <c r="AC108" i="4032"/>
  <c r="AB108" i="4032"/>
  <c r="AA108" i="4032"/>
  <c r="Z108" i="4032"/>
  <c r="Y108" i="4032"/>
  <c r="AR107" i="4032"/>
  <c r="AQ107" i="4032"/>
  <c r="AP107" i="4032"/>
  <c r="AO107" i="4032"/>
  <c r="AN107" i="4032"/>
  <c r="AM107" i="4032"/>
  <c r="AL107" i="4032"/>
  <c r="AK107" i="4032"/>
  <c r="AJ107" i="4032"/>
  <c r="AI107" i="4032"/>
  <c r="AH107" i="4032"/>
  <c r="AG107" i="4032"/>
  <c r="AF107" i="4032"/>
  <c r="AE107" i="4032"/>
  <c r="AD107" i="4032"/>
  <c r="AC107" i="4032"/>
  <c r="AB107" i="4032"/>
  <c r="AA107" i="4032"/>
  <c r="Z107" i="4032"/>
  <c r="Y107" i="4032"/>
  <c r="X107" i="4032"/>
  <c r="W107" i="4032"/>
  <c r="V107" i="4032"/>
  <c r="U107" i="4032"/>
  <c r="T107" i="4032"/>
  <c r="S107" i="4032"/>
  <c r="R107" i="4032"/>
  <c r="Q107" i="4032"/>
  <c r="P107" i="4032"/>
  <c r="O107" i="4032"/>
  <c r="N107" i="4032"/>
  <c r="M107" i="4032"/>
  <c r="L107" i="4032"/>
  <c r="K107" i="4032"/>
  <c r="J107" i="4032"/>
  <c r="I107" i="4032"/>
  <c r="H107" i="4032"/>
  <c r="G107" i="4032"/>
  <c r="F107" i="4032"/>
  <c r="AR108" i="4031"/>
  <c r="AQ108" i="4031"/>
  <c r="AP108" i="4031"/>
  <c r="AO108" i="4031"/>
  <c r="AN108" i="4031"/>
  <c r="AM108" i="4031"/>
  <c r="AL108" i="4031"/>
  <c r="AK108" i="4031"/>
  <c r="AJ108" i="4031"/>
  <c r="AI108" i="4031"/>
  <c r="AH108" i="4031"/>
  <c r="AG108" i="4031"/>
  <c r="AF108" i="4031"/>
  <c r="AE108" i="4031"/>
  <c r="AD108" i="4031"/>
  <c r="AC108" i="4031"/>
  <c r="AB108" i="4031"/>
  <c r="AA108" i="4031"/>
  <c r="Z108" i="4031"/>
  <c r="Y108" i="4031"/>
  <c r="AR107" i="4031"/>
  <c r="AQ107" i="4031"/>
  <c r="AP107" i="4031"/>
  <c r="AO107" i="4031"/>
  <c r="AN107" i="4031"/>
  <c r="AM107" i="4031"/>
  <c r="AL107" i="4031"/>
  <c r="AK107" i="4031"/>
  <c r="AJ107" i="4031"/>
  <c r="AI107" i="4031"/>
  <c r="AH107" i="4031"/>
  <c r="AG107" i="4031"/>
  <c r="AF107" i="4031"/>
  <c r="AE107" i="4031"/>
  <c r="AD107" i="4031"/>
  <c r="AC107" i="4031"/>
  <c r="AB107" i="4031"/>
  <c r="AA107" i="4031"/>
  <c r="Z107" i="4031"/>
  <c r="Y107" i="4031"/>
  <c r="X107" i="4031"/>
  <c r="W107" i="4031"/>
  <c r="V107" i="4031"/>
  <c r="U107" i="4031"/>
  <c r="T107" i="4031"/>
  <c r="S107" i="4031"/>
  <c r="R107" i="4031"/>
  <c r="Q107" i="4031"/>
  <c r="P107" i="4031"/>
  <c r="O107" i="4031"/>
  <c r="N107" i="4031"/>
  <c r="M107" i="4031"/>
  <c r="L107" i="4031"/>
  <c r="K107" i="4031"/>
  <c r="J107" i="4031"/>
  <c r="I107" i="4031"/>
  <c r="H107" i="4031"/>
  <c r="G107" i="4031"/>
  <c r="F107" i="4031"/>
  <c r="AR108" i="4030"/>
  <c r="AQ108" i="4030"/>
  <c r="AP108" i="4030"/>
  <c r="AO108" i="4030"/>
  <c r="AN108" i="4030"/>
  <c r="AM108" i="4030"/>
  <c r="AL108" i="4030"/>
  <c r="AK108" i="4030"/>
  <c r="AJ108" i="4030"/>
  <c r="AI108" i="4030"/>
  <c r="AH108" i="4030"/>
  <c r="AG108" i="4030"/>
  <c r="AF108" i="4030"/>
  <c r="AE108" i="4030"/>
  <c r="AD108" i="4030"/>
  <c r="AC108" i="4030"/>
  <c r="AB108" i="4030"/>
  <c r="AA108" i="4030"/>
  <c r="Z108" i="4030"/>
  <c r="Y108" i="4030"/>
  <c r="AR107" i="4030"/>
  <c r="AQ107" i="4030"/>
  <c r="AP107" i="4030"/>
  <c r="AO107" i="4030"/>
  <c r="AN107" i="4030"/>
  <c r="AM107" i="4030"/>
  <c r="AL107" i="4030"/>
  <c r="AK107" i="4030"/>
  <c r="AJ107" i="4030"/>
  <c r="AI107" i="4030"/>
  <c r="AH107" i="4030"/>
  <c r="AG107" i="4030"/>
  <c r="AF107" i="4030"/>
  <c r="AE107" i="4030"/>
  <c r="AD107" i="4030"/>
  <c r="AC107" i="4030"/>
  <c r="AB107" i="4030"/>
  <c r="AA107" i="4030"/>
  <c r="Z107" i="4030"/>
  <c r="Y107" i="4030"/>
  <c r="X107" i="4030"/>
  <c r="W107" i="4030"/>
  <c r="V107" i="4030"/>
  <c r="U107" i="4030"/>
  <c r="T107" i="4030"/>
  <c r="S107" i="4030"/>
  <c r="R107" i="4030"/>
  <c r="Q107" i="4030"/>
  <c r="P107" i="4030"/>
  <c r="O107" i="4030"/>
  <c r="N107" i="4030"/>
  <c r="M107" i="4030"/>
  <c r="L107" i="4030"/>
  <c r="K107" i="4030"/>
  <c r="J107" i="4030"/>
  <c r="I107" i="4030"/>
  <c r="H107" i="4030"/>
  <c r="G107" i="4030"/>
  <c r="F107" i="4030"/>
  <c r="AR108" i="4029"/>
  <c r="AQ108" i="4029"/>
  <c r="AP108" i="4029"/>
  <c r="AO108" i="4029"/>
  <c r="AN108" i="4029"/>
  <c r="AM108" i="4029"/>
  <c r="AL108" i="4029"/>
  <c r="AK108" i="4029"/>
  <c r="AJ108" i="4029"/>
  <c r="AI108" i="4029"/>
  <c r="AH108" i="4029"/>
  <c r="AG108" i="4029"/>
  <c r="AF108" i="4029"/>
  <c r="AE108" i="4029"/>
  <c r="AD108" i="4029"/>
  <c r="AC108" i="4029"/>
  <c r="AB108" i="4029"/>
  <c r="AA108" i="4029"/>
  <c r="Z108" i="4029"/>
  <c r="Y108" i="4029"/>
  <c r="AR107" i="4029"/>
  <c r="AQ107" i="4029"/>
  <c r="AP107" i="4029"/>
  <c r="AO107" i="4029"/>
  <c r="AN107" i="4029"/>
  <c r="AM107" i="4029"/>
  <c r="AL107" i="4029"/>
  <c r="AK107" i="4029"/>
  <c r="AJ107" i="4029"/>
  <c r="AI107" i="4029"/>
  <c r="AH107" i="4029"/>
  <c r="AG107" i="4029"/>
  <c r="AF107" i="4029"/>
  <c r="AE107" i="4029"/>
  <c r="AD107" i="4029"/>
  <c r="AC107" i="4029"/>
  <c r="AB107" i="4029"/>
  <c r="AA107" i="4029"/>
  <c r="Z107" i="4029"/>
  <c r="Y107" i="4029"/>
  <c r="X107" i="4029"/>
  <c r="W107" i="4029"/>
  <c r="V107" i="4029"/>
  <c r="U107" i="4029"/>
  <c r="T107" i="4029"/>
  <c r="S107" i="4029"/>
  <c r="R107" i="4029"/>
  <c r="Q107" i="4029"/>
  <c r="P107" i="4029"/>
  <c r="O107" i="4029"/>
  <c r="N107" i="4029"/>
  <c r="M107" i="4029"/>
  <c r="L107" i="4029"/>
  <c r="K107" i="4029"/>
  <c r="J107" i="4029"/>
  <c r="I107" i="4029"/>
  <c r="H107" i="4029"/>
  <c r="G107" i="4029"/>
  <c r="F107" i="4029"/>
  <c r="AR108" i="4028"/>
  <c r="AQ108" i="4028"/>
  <c r="AP108" i="4028"/>
  <c r="AO108" i="4028"/>
  <c r="AN108" i="4028"/>
  <c r="AM108" i="4028"/>
  <c r="AL108" i="4028"/>
  <c r="AK108" i="4028"/>
  <c r="AJ108" i="4028"/>
  <c r="AI108" i="4028"/>
  <c r="AH108" i="4028"/>
  <c r="AG108" i="4028"/>
  <c r="AF108" i="4028"/>
  <c r="AE108" i="4028"/>
  <c r="AD108" i="4028"/>
  <c r="AC108" i="4028"/>
  <c r="AB108" i="4028"/>
  <c r="AA108" i="4028"/>
  <c r="Z108" i="4028"/>
  <c r="Y108" i="4028"/>
  <c r="AR107" i="4028"/>
  <c r="AQ107" i="4028"/>
  <c r="AP107" i="4028"/>
  <c r="AO107" i="4028"/>
  <c r="AN107" i="4028"/>
  <c r="AM107" i="4028"/>
  <c r="AL107" i="4028"/>
  <c r="AK107" i="4028"/>
  <c r="AJ107" i="4028"/>
  <c r="AI107" i="4028"/>
  <c r="AH107" i="4028"/>
  <c r="AG107" i="4028"/>
  <c r="AF107" i="4028"/>
  <c r="AE107" i="4028"/>
  <c r="AD107" i="4028"/>
  <c r="AC107" i="4028"/>
  <c r="AB107" i="4028"/>
  <c r="AA107" i="4028"/>
  <c r="Z107" i="4028"/>
  <c r="Y107" i="4028"/>
  <c r="X107" i="4028"/>
  <c r="W107" i="4028"/>
  <c r="V107" i="4028"/>
  <c r="U107" i="4028"/>
  <c r="T107" i="4028"/>
  <c r="S107" i="4028"/>
  <c r="R107" i="4028"/>
  <c r="Q107" i="4028"/>
  <c r="P107" i="4028"/>
  <c r="O107" i="4028"/>
  <c r="N107" i="4028"/>
  <c r="M107" i="4028"/>
  <c r="L107" i="4028"/>
  <c r="K107" i="4028"/>
  <c r="J107" i="4028"/>
  <c r="I107" i="4028"/>
  <c r="H107" i="4028"/>
  <c r="G107" i="4028"/>
  <c r="F107" i="4028"/>
  <c r="AR108" i="4027"/>
  <c r="AQ108" i="4027"/>
  <c r="AP108" i="4027"/>
  <c r="AO108" i="4027"/>
  <c r="AN108" i="4027"/>
  <c r="AM108" i="4027"/>
  <c r="AL108" i="4027"/>
  <c r="AK108" i="4027"/>
  <c r="AJ108" i="4027"/>
  <c r="AI108" i="4027"/>
  <c r="AH108" i="4027"/>
  <c r="AG108" i="4027"/>
  <c r="AF108" i="4027"/>
  <c r="AE108" i="4027"/>
  <c r="AD108" i="4027"/>
  <c r="AC108" i="4027"/>
  <c r="AB108" i="4027"/>
  <c r="AA108" i="4027"/>
  <c r="Z108" i="4027"/>
  <c r="Y108" i="4027"/>
  <c r="AR107" i="4027"/>
  <c r="AQ107" i="4027"/>
  <c r="AP107" i="4027"/>
  <c r="AO107" i="4027"/>
  <c r="AN107" i="4027"/>
  <c r="AM107" i="4027"/>
  <c r="AL107" i="4027"/>
  <c r="AK107" i="4027"/>
  <c r="AJ107" i="4027"/>
  <c r="AI107" i="4027"/>
  <c r="AH107" i="4027"/>
  <c r="AG107" i="4027"/>
  <c r="AF107" i="4027"/>
  <c r="AE107" i="4027"/>
  <c r="AD107" i="4027"/>
  <c r="AC107" i="4027"/>
  <c r="AB107" i="4027"/>
  <c r="AA107" i="4027"/>
  <c r="Z107" i="4027"/>
  <c r="Y107" i="4027"/>
  <c r="X107" i="4027"/>
  <c r="W107" i="4027"/>
  <c r="V107" i="4027"/>
  <c r="U107" i="4027"/>
  <c r="T107" i="4027"/>
  <c r="S107" i="4027"/>
  <c r="R107" i="4027"/>
  <c r="Q107" i="4027"/>
  <c r="P107" i="4027"/>
  <c r="O107" i="4027"/>
  <c r="N107" i="4027"/>
  <c r="M107" i="4027"/>
  <c r="L107" i="4027"/>
  <c r="K107" i="4027"/>
  <c r="J107" i="4027"/>
  <c r="I107" i="4027"/>
  <c r="H107" i="4027"/>
  <c r="G107" i="4027"/>
  <c r="F107" i="4027"/>
  <c r="AR108" i="4026"/>
  <c r="AQ108" i="4026"/>
  <c r="AP108" i="4026"/>
  <c r="AO108" i="4026"/>
  <c r="AN108" i="4026"/>
  <c r="AM108" i="4026"/>
  <c r="AL108" i="4026"/>
  <c r="AK108" i="4026"/>
  <c r="AJ108" i="4026"/>
  <c r="AI108" i="4026"/>
  <c r="AH108" i="4026"/>
  <c r="AG108" i="4026"/>
  <c r="AF108" i="4026"/>
  <c r="AE108" i="4026"/>
  <c r="AD108" i="4026"/>
  <c r="AC108" i="4026"/>
  <c r="AB108" i="4026"/>
  <c r="AA108" i="4026"/>
  <c r="Z108" i="4026"/>
  <c r="Y108" i="4026"/>
  <c r="AR107" i="4026"/>
  <c r="AQ107" i="4026"/>
  <c r="AP107" i="4026"/>
  <c r="AO107" i="4026"/>
  <c r="AN107" i="4026"/>
  <c r="AM107" i="4026"/>
  <c r="AL107" i="4026"/>
  <c r="AK107" i="4026"/>
  <c r="AJ107" i="4026"/>
  <c r="AI107" i="4026"/>
  <c r="AH107" i="4026"/>
  <c r="AG107" i="4026"/>
  <c r="AF107" i="4026"/>
  <c r="AE107" i="4026"/>
  <c r="AD107" i="4026"/>
  <c r="AC107" i="4026"/>
  <c r="AB107" i="4026"/>
  <c r="AA107" i="4026"/>
  <c r="Z107" i="4026"/>
  <c r="Y107" i="4026"/>
  <c r="X107" i="4026"/>
  <c r="W107" i="4026"/>
  <c r="V107" i="4026"/>
  <c r="U107" i="4026"/>
  <c r="T107" i="4026"/>
  <c r="S107" i="4026"/>
  <c r="R107" i="4026"/>
  <c r="Q107" i="4026"/>
  <c r="P107" i="4026"/>
  <c r="O107" i="4026"/>
  <c r="N107" i="4026"/>
  <c r="M107" i="4026"/>
  <c r="L107" i="4026"/>
  <c r="K107" i="4026"/>
  <c r="J107" i="4026"/>
  <c r="I107" i="4026"/>
  <c r="H107" i="4026"/>
  <c r="G107" i="4026"/>
  <c r="F107" i="4026"/>
  <c r="AR108" i="4025"/>
  <c r="AQ108" i="4025"/>
  <c r="AP108" i="4025"/>
  <c r="AO108" i="4025"/>
  <c r="AN108" i="4025"/>
  <c r="AM108" i="4025"/>
  <c r="AL108" i="4025"/>
  <c r="AK108" i="4025"/>
  <c r="AJ108" i="4025"/>
  <c r="AI108" i="4025"/>
  <c r="AH108" i="4025"/>
  <c r="AG108" i="4025"/>
  <c r="AF108" i="4025"/>
  <c r="AE108" i="4025"/>
  <c r="AD108" i="4025"/>
  <c r="AC108" i="4025"/>
  <c r="AB108" i="4025"/>
  <c r="AA108" i="4025"/>
  <c r="Z108" i="4025"/>
  <c r="Y108" i="4025"/>
  <c r="AR107" i="4025"/>
  <c r="AQ107" i="4025"/>
  <c r="AP107" i="4025"/>
  <c r="AO107" i="4025"/>
  <c r="AN107" i="4025"/>
  <c r="AM107" i="4025"/>
  <c r="AL107" i="4025"/>
  <c r="AK107" i="4025"/>
  <c r="AJ107" i="4025"/>
  <c r="AI107" i="4025"/>
  <c r="AH107" i="4025"/>
  <c r="AG107" i="4025"/>
  <c r="AF107" i="4025"/>
  <c r="AE107" i="4025"/>
  <c r="AD107" i="4025"/>
  <c r="AC107" i="4025"/>
  <c r="AB107" i="4025"/>
  <c r="AA107" i="4025"/>
  <c r="Z107" i="4025"/>
  <c r="Y107" i="4025"/>
  <c r="X107" i="4025"/>
  <c r="W107" i="4025"/>
  <c r="V107" i="4025"/>
  <c r="U107" i="4025"/>
  <c r="T107" i="4025"/>
  <c r="S107" i="4025"/>
  <c r="R107" i="4025"/>
  <c r="Q107" i="4025"/>
  <c r="P107" i="4025"/>
  <c r="O107" i="4025"/>
  <c r="N107" i="4025"/>
  <c r="M107" i="4025"/>
  <c r="L107" i="4025"/>
  <c r="K107" i="4025"/>
  <c r="J107" i="4025"/>
  <c r="I107" i="4025"/>
  <c r="H107" i="4025"/>
  <c r="G107" i="4025"/>
  <c r="F107" i="4025"/>
  <c r="AR108" i="4024"/>
  <c r="AQ108" i="4024"/>
  <c r="AP108" i="4024"/>
  <c r="AO108" i="4024"/>
  <c r="AN108" i="4024"/>
  <c r="AM108" i="4024"/>
  <c r="AL108" i="4024"/>
  <c r="AK108" i="4024"/>
  <c r="AJ108" i="4024"/>
  <c r="AI108" i="4024"/>
  <c r="AH108" i="4024"/>
  <c r="AG108" i="4024"/>
  <c r="AF108" i="4024"/>
  <c r="AE108" i="4024"/>
  <c r="AD108" i="4024"/>
  <c r="AC108" i="4024"/>
  <c r="AB108" i="4024"/>
  <c r="AA108" i="4024"/>
  <c r="Z108" i="4024"/>
  <c r="Y108" i="4024"/>
  <c r="AR107" i="4024"/>
  <c r="AQ107" i="4024"/>
  <c r="AP107" i="4024"/>
  <c r="AO107" i="4024"/>
  <c r="AN107" i="4024"/>
  <c r="AM107" i="4024"/>
  <c r="AL107" i="4024"/>
  <c r="AK107" i="4024"/>
  <c r="AJ107" i="4024"/>
  <c r="AI107" i="4024"/>
  <c r="AH107" i="4024"/>
  <c r="AG107" i="4024"/>
  <c r="AF107" i="4024"/>
  <c r="AE107" i="4024"/>
  <c r="AD107" i="4024"/>
  <c r="AC107" i="4024"/>
  <c r="AB107" i="4024"/>
  <c r="AA107" i="4024"/>
  <c r="Z107" i="4024"/>
  <c r="Y107" i="4024"/>
  <c r="X107" i="4024"/>
  <c r="W107" i="4024"/>
  <c r="V107" i="4024"/>
  <c r="U107" i="4024"/>
  <c r="T107" i="4024"/>
  <c r="S107" i="4024"/>
  <c r="R107" i="4024"/>
  <c r="Q107" i="4024"/>
  <c r="P107" i="4024"/>
  <c r="O107" i="4024"/>
  <c r="N107" i="4024"/>
  <c r="M107" i="4024"/>
  <c r="L107" i="4024"/>
  <c r="K107" i="4024"/>
  <c r="J107" i="4024"/>
  <c r="I107" i="4024"/>
  <c r="H107" i="4024"/>
  <c r="G107" i="4024"/>
  <c r="F107" i="4024"/>
  <c r="AR108" i="4023"/>
  <c r="AQ108" i="4023"/>
  <c r="AP108" i="4023"/>
  <c r="AO108" i="4023"/>
  <c r="AN108" i="4023"/>
  <c r="AM108" i="4023"/>
  <c r="AL108" i="4023"/>
  <c r="AK108" i="4023"/>
  <c r="AJ108" i="4023"/>
  <c r="AI108" i="4023"/>
  <c r="AH108" i="4023"/>
  <c r="AG108" i="4023"/>
  <c r="AF108" i="4023"/>
  <c r="AE108" i="4023"/>
  <c r="AD108" i="4023"/>
  <c r="AC108" i="4023"/>
  <c r="AB108" i="4023"/>
  <c r="AA108" i="4023"/>
  <c r="Z108" i="4023"/>
  <c r="Y108" i="4023"/>
  <c r="AR107" i="4023"/>
  <c r="AQ107" i="4023"/>
  <c r="AP107" i="4023"/>
  <c r="AO107" i="4023"/>
  <c r="AN107" i="4023"/>
  <c r="AM107" i="4023"/>
  <c r="AL107" i="4023"/>
  <c r="AK107" i="4023"/>
  <c r="AJ107" i="4023"/>
  <c r="AI107" i="4023"/>
  <c r="AH107" i="4023"/>
  <c r="AG107" i="4023"/>
  <c r="AF107" i="4023"/>
  <c r="AE107" i="4023"/>
  <c r="AD107" i="4023"/>
  <c r="AC107" i="4023"/>
  <c r="AB107" i="4023"/>
  <c r="AA107" i="4023"/>
  <c r="Z107" i="4023"/>
  <c r="Y107" i="4023"/>
  <c r="X107" i="4023"/>
  <c r="W107" i="4023"/>
  <c r="V107" i="4023"/>
  <c r="U107" i="4023"/>
  <c r="T107" i="4023"/>
  <c r="S107" i="4023"/>
  <c r="R107" i="4023"/>
  <c r="Q107" i="4023"/>
  <c r="P107" i="4023"/>
  <c r="O107" i="4023"/>
  <c r="N107" i="4023"/>
  <c r="M107" i="4023"/>
  <c r="L107" i="4023"/>
  <c r="K107" i="4023"/>
  <c r="J107" i="4023"/>
  <c r="I107" i="4023"/>
  <c r="H107" i="4023"/>
  <c r="G107" i="4023"/>
  <c r="F107" i="4023"/>
  <c r="AR108" i="4038"/>
  <c r="AQ108" i="4038"/>
  <c r="AP108" i="4038"/>
  <c r="AO108" i="4038"/>
  <c r="AN108" i="4038"/>
  <c r="AM108" i="4038"/>
  <c r="AL108" i="4038"/>
  <c r="AK108" i="4038"/>
  <c r="AJ108" i="4038"/>
  <c r="AI108" i="4038"/>
  <c r="AH108" i="4038"/>
  <c r="AG108" i="4038"/>
  <c r="AF108" i="4038"/>
  <c r="AE108" i="4038"/>
  <c r="AD108" i="4038"/>
  <c r="AC108" i="4038"/>
  <c r="AB108" i="4038"/>
  <c r="AA108" i="4038"/>
  <c r="Z108" i="4038"/>
  <c r="Y108" i="4038"/>
  <c r="AR107" i="4038"/>
  <c r="AQ107" i="4038"/>
  <c r="AP107" i="4038"/>
  <c r="AO107" i="4038"/>
  <c r="AN107" i="4038"/>
  <c r="AM107" i="4038"/>
  <c r="AL107" i="4038"/>
  <c r="AK107" i="4038"/>
  <c r="AJ107" i="4038"/>
  <c r="AI107" i="4038"/>
  <c r="AH107" i="4038"/>
  <c r="AG107" i="4038"/>
  <c r="AF107" i="4038"/>
  <c r="AE107" i="4038"/>
  <c r="AD107" i="4038"/>
  <c r="AC107" i="4038"/>
  <c r="AB107" i="4038"/>
  <c r="AA107" i="4038"/>
  <c r="Z107" i="4038"/>
  <c r="Y107" i="4038"/>
  <c r="X107" i="4038"/>
  <c r="W107" i="4038"/>
  <c r="V107" i="4038"/>
  <c r="U107" i="4038"/>
  <c r="T107" i="4038"/>
  <c r="S107" i="4038"/>
  <c r="R107" i="4038"/>
  <c r="Q107" i="4038"/>
  <c r="P107" i="4038"/>
  <c r="O107" i="4038"/>
  <c r="N107" i="4038"/>
  <c r="M107" i="4038"/>
  <c r="L107" i="4038"/>
  <c r="K107" i="4038"/>
  <c r="J107" i="4038"/>
  <c r="I107" i="4038"/>
  <c r="H107" i="4038"/>
  <c r="G107" i="4038"/>
  <c r="F107" i="4038"/>
  <c r="AR108" i="4022"/>
  <c r="AQ108" i="4022"/>
  <c r="AP108" i="4022"/>
  <c r="AO108" i="4022"/>
  <c r="AN108" i="4022"/>
  <c r="AM108" i="4022"/>
  <c r="AL108" i="4022"/>
  <c r="AK108" i="4022"/>
  <c r="AJ108" i="4022"/>
  <c r="AI108" i="4022"/>
  <c r="AH108" i="4022"/>
  <c r="AG108" i="4022"/>
  <c r="AF108" i="4022"/>
  <c r="AE108" i="4022"/>
  <c r="AD108" i="4022"/>
  <c r="AC108" i="4022"/>
  <c r="AB108" i="4022"/>
  <c r="AA108" i="4022"/>
  <c r="Z108" i="4022"/>
  <c r="Y108" i="4022"/>
  <c r="AR107" i="4022"/>
  <c r="AQ107" i="4022"/>
  <c r="AP107" i="4022"/>
  <c r="AO107" i="4022"/>
  <c r="AN107" i="4022"/>
  <c r="AM107" i="4022"/>
  <c r="AL107" i="4022"/>
  <c r="AK107" i="4022"/>
  <c r="AJ107" i="4022"/>
  <c r="AI107" i="4022"/>
  <c r="AH107" i="4022"/>
  <c r="AG107" i="4022"/>
  <c r="AF107" i="4022"/>
  <c r="AE107" i="4022"/>
  <c r="AD107" i="4022"/>
  <c r="AC107" i="4022"/>
  <c r="AB107" i="4022"/>
  <c r="AA107" i="4022"/>
  <c r="Z107" i="4022"/>
  <c r="Y107" i="4022"/>
  <c r="X107" i="4022"/>
  <c r="W107" i="4022"/>
  <c r="V107" i="4022"/>
  <c r="U107" i="4022"/>
  <c r="T107" i="4022"/>
  <c r="S107" i="4022"/>
  <c r="R107" i="4022"/>
  <c r="Q107" i="4022"/>
  <c r="P107" i="4022"/>
  <c r="O107" i="4022"/>
  <c r="N107" i="4022"/>
  <c r="M107" i="4022"/>
  <c r="L107" i="4022"/>
  <c r="K107" i="4022"/>
  <c r="J107" i="4022"/>
  <c r="I107" i="4022"/>
  <c r="H107" i="4022"/>
  <c r="G107" i="4022"/>
  <c r="F107" i="4022"/>
  <c r="AR108" i="4037"/>
  <c r="AR127" i="4037" s="1"/>
  <c r="AQ108" i="4037"/>
  <c r="AQ127" i="4037" s="1"/>
  <c r="AP108" i="4037"/>
  <c r="AP127" i="4037" s="1"/>
  <c r="AO108" i="4037"/>
  <c r="AO127" i="4037" s="1"/>
  <c r="AN108" i="4037"/>
  <c r="AN127" i="4037" s="1"/>
  <c r="AM108" i="4037"/>
  <c r="AM127" i="4037" s="1"/>
  <c r="AL108" i="4037"/>
  <c r="AL127" i="4037" s="1"/>
  <c r="AK108" i="4037"/>
  <c r="AK127" i="4037" s="1"/>
  <c r="AJ108" i="4037"/>
  <c r="AJ127" i="4037" s="1"/>
  <c r="AI108" i="4037"/>
  <c r="AI127" i="4037" s="1"/>
  <c r="AH108" i="4037"/>
  <c r="AH127" i="4037" s="1"/>
  <c r="AG108" i="4037"/>
  <c r="AG127" i="4037" s="1"/>
  <c r="AF108" i="4037"/>
  <c r="AF127" i="4037" s="1"/>
  <c r="AE108" i="4037"/>
  <c r="AE127" i="4037" s="1"/>
  <c r="AD108" i="4037"/>
  <c r="AD127" i="4037" s="1"/>
  <c r="AC108" i="4037"/>
  <c r="AC127" i="4037" s="1"/>
  <c r="AB108" i="4037"/>
  <c r="AB127" i="4037" s="1"/>
  <c r="AA108" i="4037"/>
  <c r="AA127" i="4037" s="1"/>
  <c r="Z108" i="4037"/>
  <c r="Z127" i="4037" s="1"/>
  <c r="Y108" i="4037"/>
  <c r="Y127" i="4037" s="1"/>
  <c r="AR107" i="4037"/>
  <c r="AQ107" i="4037"/>
  <c r="AP107" i="4037"/>
  <c r="AO107" i="4037"/>
  <c r="AN107" i="4037"/>
  <c r="AM107" i="4037"/>
  <c r="AL107" i="4037"/>
  <c r="AK107" i="4037"/>
  <c r="AJ107" i="4037"/>
  <c r="AI107" i="4037"/>
  <c r="AH107" i="4037"/>
  <c r="AG107" i="4037"/>
  <c r="AF107" i="4037"/>
  <c r="AE107" i="4037"/>
  <c r="AD107" i="4037"/>
  <c r="AC107" i="4037"/>
  <c r="AB107" i="4037"/>
  <c r="AA107" i="4037"/>
  <c r="Z107" i="4037"/>
  <c r="Y107" i="4037"/>
  <c r="X107" i="4037"/>
  <c r="W107" i="4037"/>
  <c r="V107" i="4037"/>
  <c r="U107" i="4037"/>
  <c r="T107" i="4037"/>
  <c r="S107" i="4037"/>
  <c r="R107" i="4037"/>
  <c r="Q107" i="4037"/>
  <c r="P107" i="4037"/>
  <c r="O107" i="4037"/>
  <c r="N107" i="4037"/>
  <c r="M107" i="4037"/>
  <c r="L107" i="4037"/>
  <c r="K107" i="4037"/>
  <c r="J107" i="4037"/>
  <c r="I107" i="4037"/>
  <c r="H107" i="4037"/>
  <c r="G107" i="4037"/>
  <c r="F107" i="4037"/>
  <c r="AR108" i="4021"/>
  <c r="AQ108" i="4021"/>
  <c r="AP108" i="4021"/>
  <c r="AO108" i="4021"/>
  <c r="AN108" i="4021"/>
  <c r="AM108" i="4021"/>
  <c r="AL108" i="4021"/>
  <c r="AK108" i="4021"/>
  <c r="AJ108" i="4021"/>
  <c r="AI108" i="4021"/>
  <c r="AH108" i="4021"/>
  <c r="AG108" i="4021"/>
  <c r="AF108" i="4021"/>
  <c r="AE108" i="4021"/>
  <c r="AD108" i="4021"/>
  <c r="AC108" i="4021"/>
  <c r="AB108" i="4021"/>
  <c r="AA108" i="4021"/>
  <c r="Z108" i="4021"/>
  <c r="Y108" i="4021"/>
  <c r="AR107" i="4021"/>
  <c r="AQ107" i="4021"/>
  <c r="AP107" i="4021"/>
  <c r="AO107" i="4021"/>
  <c r="AN107" i="4021"/>
  <c r="AM107" i="4021"/>
  <c r="AL107" i="4021"/>
  <c r="AK107" i="4021"/>
  <c r="AJ107" i="4021"/>
  <c r="AI107" i="4021"/>
  <c r="AH107" i="4021"/>
  <c r="AG107" i="4021"/>
  <c r="AF107" i="4021"/>
  <c r="AE107" i="4021"/>
  <c r="AD107" i="4021"/>
  <c r="AC107" i="4021"/>
  <c r="AB107" i="4021"/>
  <c r="AA107" i="4021"/>
  <c r="Z107" i="4021"/>
  <c r="Y107" i="4021"/>
  <c r="X107" i="4021"/>
  <c r="W107" i="4021"/>
  <c r="V107" i="4021"/>
  <c r="U107" i="4021"/>
  <c r="T107" i="4021"/>
  <c r="S107" i="4021"/>
  <c r="R107" i="4021"/>
  <c r="Q107" i="4021"/>
  <c r="P107" i="4021"/>
  <c r="O107" i="4021"/>
  <c r="N107" i="4021"/>
  <c r="M107" i="4021"/>
  <c r="L107" i="4021"/>
  <c r="K107" i="4021"/>
  <c r="J107" i="4021"/>
  <c r="I107" i="4021"/>
  <c r="H107" i="4021"/>
  <c r="G107" i="4021"/>
  <c r="F107" i="4021"/>
  <c r="AR108" i="4020"/>
  <c r="AQ108" i="4020"/>
  <c r="AP108" i="4020"/>
  <c r="AO108" i="4020"/>
  <c r="AN108" i="4020"/>
  <c r="AM108" i="4020"/>
  <c r="AL108" i="4020"/>
  <c r="AK108" i="4020"/>
  <c r="AJ108" i="4020"/>
  <c r="AI108" i="4020"/>
  <c r="AH108" i="4020"/>
  <c r="AG108" i="4020"/>
  <c r="AF108" i="4020"/>
  <c r="AE108" i="4020"/>
  <c r="AD108" i="4020"/>
  <c r="AC108" i="4020"/>
  <c r="AB108" i="4020"/>
  <c r="AA108" i="4020"/>
  <c r="Z108" i="4020"/>
  <c r="Y108" i="4020"/>
  <c r="X108" i="4020"/>
  <c r="W108" i="4020"/>
  <c r="V108" i="4020"/>
  <c r="U108" i="4020"/>
  <c r="T108" i="4020"/>
  <c r="AR107" i="4020"/>
  <c r="AQ107" i="4020"/>
  <c r="AP107" i="4020"/>
  <c r="AO107" i="4020"/>
  <c r="AN107" i="4020"/>
  <c r="AM107" i="4020"/>
  <c r="AL107" i="4020"/>
  <c r="AK107" i="4020"/>
  <c r="AJ107" i="4020"/>
  <c r="AI107" i="4020"/>
  <c r="AH107" i="4020"/>
  <c r="AG107" i="4020"/>
  <c r="AF107" i="4020"/>
  <c r="AE107" i="4020"/>
  <c r="AD107" i="4020"/>
  <c r="AC107" i="4020"/>
  <c r="AB107" i="4020"/>
  <c r="AA107" i="4020"/>
  <c r="Z107" i="4020"/>
  <c r="Y107" i="4020"/>
  <c r="X107" i="4020"/>
  <c r="W107" i="4020"/>
  <c r="V107" i="4020"/>
  <c r="U107" i="4020"/>
  <c r="T107" i="4020"/>
  <c r="S107" i="4020"/>
  <c r="R107" i="4020"/>
  <c r="Q107" i="4020"/>
  <c r="P107" i="4020"/>
  <c r="O107" i="4020"/>
  <c r="N107" i="4020"/>
  <c r="M107" i="4020"/>
  <c r="L107" i="4020"/>
  <c r="K107" i="4020"/>
  <c r="J107" i="4020"/>
  <c r="I107" i="4020"/>
  <c r="H107" i="4020"/>
  <c r="G107" i="4020"/>
  <c r="F107" i="4020"/>
  <c r="AR108" i="4019"/>
  <c r="AQ108" i="4019"/>
  <c r="AP108" i="4019"/>
  <c r="AO108" i="4019"/>
  <c r="AN108" i="4019"/>
  <c r="AM108" i="4019"/>
  <c r="AL108" i="4019"/>
  <c r="AK108" i="4019"/>
  <c r="AJ108" i="4019"/>
  <c r="AI108" i="4019"/>
  <c r="AH108" i="4019"/>
  <c r="AG108" i="4019"/>
  <c r="AF108" i="4019"/>
  <c r="AE108" i="4019"/>
  <c r="AD108" i="4019"/>
  <c r="AC108" i="4019"/>
  <c r="AB108" i="4019"/>
  <c r="AA108" i="4019"/>
  <c r="Z108" i="4019"/>
  <c r="Y108" i="4019"/>
  <c r="X108" i="4019"/>
  <c r="W108" i="4019"/>
  <c r="V108" i="4019"/>
  <c r="U108" i="4019"/>
  <c r="T108" i="4019"/>
  <c r="AR107" i="4019"/>
  <c r="AQ107" i="4019"/>
  <c r="AP107" i="4019"/>
  <c r="AO107" i="4019"/>
  <c r="AN107" i="4019"/>
  <c r="AM107" i="4019"/>
  <c r="AL107" i="4019"/>
  <c r="AK107" i="4019"/>
  <c r="AJ107" i="4019"/>
  <c r="AI107" i="4019"/>
  <c r="AH107" i="4019"/>
  <c r="AG107" i="4019"/>
  <c r="AF107" i="4019"/>
  <c r="AE107" i="4019"/>
  <c r="AD107" i="4019"/>
  <c r="AC107" i="4019"/>
  <c r="AB107" i="4019"/>
  <c r="AA107" i="4019"/>
  <c r="Z107" i="4019"/>
  <c r="Y107" i="4019"/>
  <c r="X107" i="4019"/>
  <c r="W107" i="4019"/>
  <c r="V107" i="4019"/>
  <c r="U107" i="4019"/>
  <c r="T107" i="4019"/>
  <c r="S107" i="4019"/>
  <c r="R107" i="4019"/>
  <c r="Q107" i="4019"/>
  <c r="P107" i="4019"/>
  <c r="O107" i="4019"/>
  <c r="N107" i="4019"/>
  <c r="M107" i="4019"/>
  <c r="L107" i="4019"/>
  <c r="K107" i="4019"/>
  <c r="J107" i="4019"/>
  <c r="I107" i="4019"/>
  <c r="H107" i="4019"/>
  <c r="G107" i="4019"/>
  <c r="F107" i="4019"/>
  <c r="T108" i="4018"/>
  <c r="T124" i="4018" s="1"/>
  <c r="U108" i="4018"/>
  <c r="U124" i="4018" s="1"/>
  <c r="V108" i="4018"/>
  <c r="V124" i="4018" s="1"/>
  <c r="W108" i="4018"/>
  <c r="W124" i="4018" s="1"/>
  <c r="X108" i="4018"/>
  <c r="X124" i="4018" s="1"/>
  <c r="Y108" i="4018"/>
  <c r="Y124" i="4018" s="1"/>
  <c r="Z108" i="4018"/>
  <c r="Z124" i="4018" s="1"/>
  <c r="AA108" i="4018"/>
  <c r="AA124" i="4018" s="1"/>
  <c r="AB108" i="4018"/>
  <c r="AB124" i="4018" s="1"/>
  <c r="AC108" i="4018"/>
  <c r="AC124" i="4018" s="1"/>
  <c r="AD108" i="4018"/>
  <c r="AD124" i="4018" s="1"/>
  <c r="AE108" i="4018"/>
  <c r="AE124" i="4018" s="1"/>
  <c r="AF108" i="4018"/>
  <c r="AF124" i="4018" s="1"/>
  <c r="AG108" i="4018"/>
  <c r="AG124" i="4018" s="1"/>
  <c r="AH108" i="4018"/>
  <c r="AH124" i="4018" s="1"/>
  <c r="AI108" i="4018"/>
  <c r="AI124" i="4018" s="1"/>
  <c r="AJ108" i="4018"/>
  <c r="AJ124" i="4018" s="1"/>
  <c r="AK108" i="4018"/>
  <c r="AK124" i="4018" s="1"/>
  <c r="AL108" i="4018"/>
  <c r="AL124" i="4018" s="1"/>
  <c r="AM108" i="4018"/>
  <c r="AM124" i="4018" s="1"/>
  <c r="AN108" i="4018"/>
  <c r="AN124" i="4018" s="1"/>
  <c r="AO108" i="4018"/>
  <c r="AO124" i="4018" s="1"/>
  <c r="AP108" i="4018"/>
  <c r="AP124" i="4018" s="1"/>
  <c r="AQ108" i="4018"/>
  <c r="AQ124" i="4018" s="1"/>
  <c r="AR108" i="4018"/>
  <c r="AR124" i="4018" s="1"/>
  <c r="G107" i="4018"/>
  <c r="H107" i="4018"/>
  <c r="I107" i="4018"/>
  <c r="J107" i="4018"/>
  <c r="K107" i="4018"/>
  <c r="L107" i="4018"/>
  <c r="M107" i="4018"/>
  <c r="N107" i="4018"/>
  <c r="O107" i="4018"/>
  <c r="P107" i="4018"/>
  <c r="Q107" i="4018"/>
  <c r="R107" i="4018"/>
  <c r="S107" i="4018"/>
  <c r="T107" i="4018"/>
  <c r="T125" i="4018" s="1"/>
  <c r="U107" i="4018"/>
  <c r="U125" i="4018" s="1"/>
  <c r="V107" i="4018"/>
  <c r="V125" i="4018" s="1"/>
  <c r="W107" i="4018"/>
  <c r="W125" i="4018" s="1"/>
  <c r="X107" i="4018"/>
  <c r="X125" i="4018" s="1"/>
  <c r="Y107" i="4018"/>
  <c r="Y125" i="4018" s="1"/>
  <c r="Z107" i="4018"/>
  <c r="Z125" i="4018" s="1"/>
  <c r="AA107" i="4018"/>
  <c r="AA125" i="4018" s="1"/>
  <c r="AB107" i="4018"/>
  <c r="AB125" i="4018" s="1"/>
  <c r="AC107" i="4018"/>
  <c r="AC125" i="4018" s="1"/>
  <c r="AD107" i="4018"/>
  <c r="AD125" i="4018" s="1"/>
  <c r="AE107" i="4018"/>
  <c r="AE125" i="4018" s="1"/>
  <c r="AF107" i="4018"/>
  <c r="AF125" i="4018" s="1"/>
  <c r="AG107" i="4018"/>
  <c r="AG125" i="4018" s="1"/>
  <c r="AH107" i="4018"/>
  <c r="AH125" i="4018" s="1"/>
  <c r="AI107" i="4018"/>
  <c r="AI125" i="4018" s="1"/>
  <c r="AJ107" i="4018"/>
  <c r="AJ125" i="4018" s="1"/>
  <c r="AK107" i="4018"/>
  <c r="AK125" i="4018" s="1"/>
  <c r="AL107" i="4018"/>
  <c r="AL125" i="4018" s="1"/>
  <c r="AM107" i="4018"/>
  <c r="AM125" i="4018" s="1"/>
  <c r="AN107" i="4018"/>
  <c r="AN125" i="4018" s="1"/>
  <c r="AO107" i="4018"/>
  <c r="AO125" i="4018" s="1"/>
  <c r="AP107" i="4018"/>
  <c r="AP125" i="4018" s="1"/>
  <c r="AQ107" i="4018"/>
  <c r="AQ125" i="4018" s="1"/>
  <c r="AR107" i="4018"/>
  <c r="AR125" i="4018" s="1"/>
  <c r="F107" i="4018"/>
  <c r="AA12" i="65"/>
  <c r="AA10" i="65"/>
  <c r="AA11" i="65"/>
  <c r="AA13" i="65"/>
  <c r="E16" i="4036" l="1"/>
  <c r="E15" i="4036"/>
  <c r="E16" i="4035"/>
  <c r="E15" i="4035"/>
  <c r="E16" i="4034"/>
  <c r="E15" i="4034"/>
  <c r="E16" i="4033"/>
  <c r="E15" i="4033"/>
  <c r="E16" i="4032"/>
  <c r="E15" i="4032"/>
  <c r="E16" i="4031"/>
  <c r="E15" i="4031"/>
  <c r="E16" i="4030"/>
  <c r="E15" i="4030"/>
  <c r="E16" i="4029"/>
  <c r="E15" i="4029"/>
  <c r="E16" i="4028"/>
  <c r="E15" i="4028"/>
  <c r="E16" i="4027"/>
  <c r="E15" i="4027"/>
  <c r="E16" i="4026"/>
  <c r="E15" i="4026"/>
  <c r="E16" i="4025"/>
  <c r="E15" i="4025"/>
  <c r="E16" i="4024"/>
  <c r="E15" i="4024"/>
  <c r="E16" i="4023"/>
  <c r="E15" i="4023"/>
  <c r="E16" i="4038"/>
  <c r="E15" i="4038"/>
  <c r="E16" i="4022"/>
  <c r="E15" i="4022"/>
  <c r="E16" i="4037"/>
  <c r="E15" i="4037"/>
  <c r="E16" i="4021"/>
  <c r="E15" i="4021"/>
  <c r="E16" i="4020"/>
  <c r="E15" i="4020"/>
  <c r="E16" i="4019"/>
  <c r="E15" i="4019"/>
  <c r="E16" i="4018"/>
  <c r="E15" i="4018"/>
  <c r="D16" i="4036"/>
  <c r="D15" i="4036"/>
  <c r="D16" i="4035"/>
  <c r="D15" i="4035"/>
  <c r="D12" i="4035"/>
  <c r="D16" i="4034"/>
  <c r="D15" i="4034"/>
  <c r="D12" i="4034"/>
  <c r="D16" i="4033"/>
  <c r="D15" i="4033"/>
  <c r="D12" i="4033"/>
  <c r="D16" i="4032"/>
  <c r="D15" i="4032"/>
  <c r="D12" i="4032"/>
  <c r="D16" i="4031"/>
  <c r="D15" i="4031"/>
  <c r="D12" i="4031"/>
  <c r="D16" i="4030"/>
  <c r="D15" i="4030"/>
  <c r="D12" i="4030"/>
  <c r="D16" i="4029"/>
  <c r="D15" i="4029"/>
  <c r="D12" i="4029"/>
  <c r="D16" i="4028"/>
  <c r="D15" i="4028"/>
  <c r="D12" i="4028"/>
  <c r="D16" i="4027"/>
  <c r="D15" i="4027"/>
  <c r="D12" i="4027"/>
  <c r="D16" i="4026"/>
  <c r="D15" i="4026"/>
  <c r="D12" i="4026"/>
  <c r="D16" i="4025"/>
  <c r="D15" i="4025"/>
  <c r="D12" i="4025"/>
  <c r="D16" i="4024"/>
  <c r="D15" i="4024"/>
  <c r="D12" i="4024"/>
  <c r="D16" i="4023"/>
  <c r="D15" i="4023"/>
  <c r="D12" i="4023"/>
  <c r="D16" i="4038"/>
  <c r="D15" i="4038"/>
  <c r="D12" i="4038"/>
  <c r="D16" i="4022"/>
  <c r="D15" i="4022"/>
  <c r="D12" i="4022"/>
  <c r="D16" i="4037"/>
  <c r="D15" i="4037"/>
  <c r="D12" i="4037"/>
  <c r="D16" i="4021"/>
  <c r="D15" i="4021"/>
  <c r="D12" i="4021"/>
  <c r="D16" i="4020"/>
  <c r="D15" i="4020"/>
  <c r="D12" i="4020"/>
  <c r="D16" i="4019"/>
  <c r="D15" i="4019"/>
  <c r="D12" i="4019"/>
  <c r="D16" i="4018"/>
  <c r="D15" i="4018"/>
  <c r="D12" i="4018"/>
  <c r="D11" i="149"/>
  <c r="J11" i="149" s="1"/>
  <c r="C177" i="4020" l="1"/>
  <c r="C177" i="4022"/>
  <c r="C177" i="4021"/>
  <c r="C177" i="4038"/>
  <c r="C177" i="4037"/>
  <c r="C41" i="4019"/>
  <c r="T120" i="4036"/>
  <c r="U120" i="4036"/>
  <c r="V120" i="4036"/>
  <c r="W120" i="4036"/>
  <c r="X120" i="4036"/>
  <c r="Y120" i="4036"/>
  <c r="Z120" i="4036"/>
  <c r="AA120" i="4036"/>
  <c r="AB120" i="4036"/>
  <c r="AC120" i="4036"/>
  <c r="AD120" i="4036"/>
  <c r="AE120" i="4036"/>
  <c r="AF120" i="4036"/>
  <c r="AG120" i="4036"/>
  <c r="AH120" i="4036"/>
  <c r="AI120" i="4036"/>
  <c r="AJ120" i="4036"/>
  <c r="AK120" i="4036"/>
  <c r="AL120" i="4036"/>
  <c r="AM120" i="4036"/>
  <c r="AN120" i="4036"/>
  <c r="AO120" i="4036"/>
  <c r="AP120" i="4036"/>
  <c r="AQ120" i="4036"/>
  <c r="AR120" i="4036"/>
  <c r="Y120" i="4035"/>
  <c r="Z120" i="4035"/>
  <c r="AA120" i="4035"/>
  <c r="AB120" i="4035"/>
  <c r="AC120" i="4035"/>
  <c r="AD120" i="4035"/>
  <c r="AE120" i="4035"/>
  <c r="AF120" i="4035"/>
  <c r="AG120" i="4035"/>
  <c r="AH120" i="4035"/>
  <c r="AI120" i="4035"/>
  <c r="AJ120" i="4035"/>
  <c r="AK120" i="4035"/>
  <c r="AL120" i="4035"/>
  <c r="AM120" i="4035"/>
  <c r="AN120" i="4035"/>
  <c r="AO120" i="4035"/>
  <c r="AP120" i="4035"/>
  <c r="AQ120" i="4035"/>
  <c r="AR120" i="4035"/>
  <c r="Y120" i="4034"/>
  <c r="Z120" i="4034"/>
  <c r="AA120" i="4034"/>
  <c r="AB120" i="4034"/>
  <c r="AC120" i="4034"/>
  <c r="AD120" i="4034"/>
  <c r="AE120" i="4034"/>
  <c r="AF120" i="4034"/>
  <c r="AG120" i="4034"/>
  <c r="AH120" i="4034"/>
  <c r="AI120" i="4034"/>
  <c r="AJ120" i="4034"/>
  <c r="AK120" i="4034"/>
  <c r="AL120" i="4034"/>
  <c r="AM120" i="4034"/>
  <c r="AN120" i="4034"/>
  <c r="AO120" i="4034"/>
  <c r="AP120" i="4034"/>
  <c r="AQ120" i="4034"/>
  <c r="AR120" i="4034"/>
  <c r="Y120" i="4033"/>
  <c r="Z120" i="4033"/>
  <c r="AA120" i="4033"/>
  <c r="AB120" i="4033"/>
  <c r="AC120" i="4033"/>
  <c r="AD120" i="4033"/>
  <c r="AE120" i="4033"/>
  <c r="AF120" i="4033"/>
  <c r="AG120" i="4033"/>
  <c r="AH120" i="4033"/>
  <c r="AI120" i="4033"/>
  <c r="AJ120" i="4033"/>
  <c r="AK120" i="4033"/>
  <c r="AL120" i="4033"/>
  <c r="AM120" i="4033"/>
  <c r="AN120" i="4033"/>
  <c r="AO120" i="4033"/>
  <c r="AP120" i="4033"/>
  <c r="AQ120" i="4033"/>
  <c r="AR120" i="4033"/>
  <c r="Y120" i="4032"/>
  <c r="Z120" i="4032"/>
  <c r="AA120" i="4032"/>
  <c r="AB120" i="4032"/>
  <c r="AC120" i="4032"/>
  <c r="AD120" i="4032"/>
  <c r="AE120" i="4032"/>
  <c r="AF120" i="4032"/>
  <c r="AG120" i="4032"/>
  <c r="AH120" i="4032"/>
  <c r="AI120" i="4032"/>
  <c r="AJ120" i="4032"/>
  <c r="AK120" i="4032"/>
  <c r="AL120" i="4032"/>
  <c r="AM120" i="4032"/>
  <c r="AN120" i="4032"/>
  <c r="AO120" i="4032"/>
  <c r="AP120" i="4032"/>
  <c r="AQ120" i="4032"/>
  <c r="AR120" i="4032"/>
  <c r="Y120" i="4031"/>
  <c r="Z120" i="4031"/>
  <c r="AA120" i="4031"/>
  <c r="AB120" i="4031"/>
  <c r="AC120" i="4031"/>
  <c r="AD120" i="4031"/>
  <c r="AE120" i="4031"/>
  <c r="AF120" i="4031"/>
  <c r="AG120" i="4031"/>
  <c r="AH120" i="4031"/>
  <c r="AI120" i="4031"/>
  <c r="AJ120" i="4031"/>
  <c r="AK120" i="4031"/>
  <c r="AL120" i="4031"/>
  <c r="AM120" i="4031"/>
  <c r="AN120" i="4031"/>
  <c r="AO120" i="4031"/>
  <c r="AP120" i="4031"/>
  <c r="AQ120" i="4031"/>
  <c r="AR120" i="4031"/>
  <c r="Y120" i="4030"/>
  <c r="Z120" i="4030"/>
  <c r="AA120" i="4030"/>
  <c r="AB120" i="4030"/>
  <c r="AC120" i="4030"/>
  <c r="AD120" i="4030"/>
  <c r="AE120" i="4030"/>
  <c r="AF120" i="4030"/>
  <c r="AG120" i="4030"/>
  <c r="AH120" i="4030"/>
  <c r="AI120" i="4030"/>
  <c r="AJ120" i="4030"/>
  <c r="AK120" i="4030"/>
  <c r="AL120" i="4030"/>
  <c r="AM120" i="4030"/>
  <c r="AN120" i="4030"/>
  <c r="AO120" i="4030"/>
  <c r="AP120" i="4030"/>
  <c r="AQ120" i="4030"/>
  <c r="AR120" i="4030"/>
  <c r="Y120" i="4029"/>
  <c r="Z120" i="4029"/>
  <c r="AA120" i="4029"/>
  <c r="AB120" i="4029"/>
  <c r="AC120" i="4029"/>
  <c r="AD120" i="4029"/>
  <c r="AE120" i="4029"/>
  <c r="AF120" i="4029"/>
  <c r="AG120" i="4029"/>
  <c r="AH120" i="4029"/>
  <c r="AI120" i="4029"/>
  <c r="AJ120" i="4029"/>
  <c r="AK120" i="4029"/>
  <c r="AL120" i="4029"/>
  <c r="AM120" i="4029"/>
  <c r="AN120" i="4029"/>
  <c r="AO120" i="4029"/>
  <c r="AP120" i="4029"/>
  <c r="AQ120" i="4029"/>
  <c r="AR120" i="4029"/>
  <c r="Y120" i="4028"/>
  <c r="Z120" i="4028"/>
  <c r="AA120" i="4028"/>
  <c r="AB120" i="4028"/>
  <c r="AC120" i="4028"/>
  <c r="AD120" i="4028"/>
  <c r="AE120" i="4028"/>
  <c r="AF120" i="4028"/>
  <c r="AG120" i="4028"/>
  <c r="AH120" i="4028"/>
  <c r="AI120" i="4028"/>
  <c r="AJ120" i="4028"/>
  <c r="AK120" i="4028"/>
  <c r="AL120" i="4028"/>
  <c r="AM120" i="4028"/>
  <c r="AN120" i="4028"/>
  <c r="AO120" i="4028"/>
  <c r="AP120" i="4028"/>
  <c r="AQ120" i="4028"/>
  <c r="AR120" i="4028"/>
  <c r="Y120" i="4027"/>
  <c r="Z120" i="4027"/>
  <c r="AA120" i="4027"/>
  <c r="AB120" i="4027"/>
  <c r="AC120" i="4027"/>
  <c r="AD120" i="4027"/>
  <c r="AE120" i="4027"/>
  <c r="AF120" i="4027"/>
  <c r="AG120" i="4027"/>
  <c r="AH120" i="4027"/>
  <c r="AI120" i="4027"/>
  <c r="AJ120" i="4027"/>
  <c r="AK120" i="4027"/>
  <c r="AL120" i="4027"/>
  <c r="AM120" i="4027"/>
  <c r="AN120" i="4027"/>
  <c r="AO120" i="4027"/>
  <c r="AP120" i="4027"/>
  <c r="AQ120" i="4027"/>
  <c r="AR120" i="4027"/>
  <c r="Y120" i="4026"/>
  <c r="Z120" i="4026"/>
  <c r="AA120" i="4026"/>
  <c r="AB120" i="4026"/>
  <c r="AC120" i="4026"/>
  <c r="AD120" i="4026"/>
  <c r="AE120" i="4026"/>
  <c r="AF120" i="4026"/>
  <c r="AG120" i="4026"/>
  <c r="AH120" i="4026"/>
  <c r="AI120" i="4026"/>
  <c r="AJ120" i="4026"/>
  <c r="AK120" i="4026"/>
  <c r="AL120" i="4026"/>
  <c r="AM120" i="4026"/>
  <c r="AN120" i="4026"/>
  <c r="AO120" i="4026"/>
  <c r="AP120" i="4026"/>
  <c r="AQ120" i="4026"/>
  <c r="AR120" i="4026"/>
  <c r="Y120" i="4025"/>
  <c r="Z120" i="4025"/>
  <c r="AA120" i="4025"/>
  <c r="AB120" i="4025"/>
  <c r="AC120" i="4025"/>
  <c r="AD120" i="4025"/>
  <c r="AE120" i="4025"/>
  <c r="AF120" i="4025"/>
  <c r="AG120" i="4025"/>
  <c r="AH120" i="4025"/>
  <c r="AI120" i="4025"/>
  <c r="AJ120" i="4025"/>
  <c r="AK120" i="4025"/>
  <c r="AL120" i="4025"/>
  <c r="AM120" i="4025"/>
  <c r="AN120" i="4025"/>
  <c r="AO120" i="4025"/>
  <c r="AP120" i="4025"/>
  <c r="AQ120" i="4025"/>
  <c r="AR120" i="4025"/>
  <c r="Y120" i="4024"/>
  <c r="Z120" i="4024"/>
  <c r="AA120" i="4024"/>
  <c r="AB120" i="4024"/>
  <c r="AC120" i="4024"/>
  <c r="AD120" i="4024"/>
  <c r="AE120" i="4024"/>
  <c r="AF120" i="4024"/>
  <c r="AG120" i="4024"/>
  <c r="AH120" i="4024"/>
  <c r="AI120" i="4024"/>
  <c r="AJ120" i="4024"/>
  <c r="AK120" i="4024"/>
  <c r="AL120" i="4024"/>
  <c r="AM120" i="4024"/>
  <c r="AN120" i="4024"/>
  <c r="AO120" i="4024"/>
  <c r="AP120" i="4024"/>
  <c r="AQ120" i="4024"/>
  <c r="AR120" i="4024"/>
  <c r="Y120" i="4023"/>
  <c r="Z120" i="4023"/>
  <c r="AA120" i="4023"/>
  <c r="AB120" i="4023"/>
  <c r="AC120" i="4023"/>
  <c r="AD120" i="4023"/>
  <c r="AE120" i="4023"/>
  <c r="AF120" i="4023"/>
  <c r="AG120" i="4023"/>
  <c r="AH120" i="4023"/>
  <c r="AI120" i="4023"/>
  <c r="AJ120" i="4023"/>
  <c r="AK120" i="4023"/>
  <c r="AL120" i="4023"/>
  <c r="AM120" i="4023"/>
  <c r="AN120" i="4023"/>
  <c r="AO120" i="4023"/>
  <c r="AP120" i="4023"/>
  <c r="AQ120" i="4023"/>
  <c r="AR120" i="4023"/>
  <c r="Y120" i="4038"/>
  <c r="Z120" i="4038"/>
  <c r="AA120" i="4038"/>
  <c r="AB120" i="4038"/>
  <c r="AC120" i="4038"/>
  <c r="AD120" i="4038"/>
  <c r="AE120" i="4038"/>
  <c r="AF120" i="4038"/>
  <c r="AG120" i="4038"/>
  <c r="AH120" i="4038"/>
  <c r="AI120" i="4038"/>
  <c r="AJ120" i="4038"/>
  <c r="AK120" i="4038"/>
  <c r="AL120" i="4038"/>
  <c r="AM120" i="4038"/>
  <c r="AN120" i="4038"/>
  <c r="AO120" i="4038"/>
  <c r="AP120" i="4038"/>
  <c r="AQ120" i="4038"/>
  <c r="AR120" i="4038"/>
  <c r="Y120" i="4022"/>
  <c r="Z120" i="4022"/>
  <c r="AA120" i="4022"/>
  <c r="AB120" i="4022"/>
  <c r="AC120" i="4022"/>
  <c r="AD120" i="4022"/>
  <c r="AE120" i="4022"/>
  <c r="AF120" i="4022"/>
  <c r="AG120" i="4022"/>
  <c r="AH120" i="4022"/>
  <c r="AI120" i="4022"/>
  <c r="AJ120" i="4022"/>
  <c r="AK120" i="4022"/>
  <c r="AL120" i="4022"/>
  <c r="AM120" i="4022"/>
  <c r="AN120" i="4022"/>
  <c r="AO120" i="4022"/>
  <c r="AP120" i="4022"/>
  <c r="AQ120" i="4022"/>
  <c r="AR120" i="4022"/>
  <c r="Y120" i="4037"/>
  <c r="Z120" i="4037"/>
  <c r="AA120" i="4037"/>
  <c r="AB120" i="4037"/>
  <c r="AC120" i="4037"/>
  <c r="AD120" i="4037"/>
  <c r="AE120" i="4037"/>
  <c r="AF120" i="4037"/>
  <c r="AG120" i="4037"/>
  <c r="AH120" i="4037"/>
  <c r="AI120" i="4037"/>
  <c r="AJ120" i="4037"/>
  <c r="AK120" i="4037"/>
  <c r="AL120" i="4037"/>
  <c r="AM120" i="4037"/>
  <c r="AN120" i="4037"/>
  <c r="AO120" i="4037"/>
  <c r="AP120" i="4037"/>
  <c r="AQ120" i="4037"/>
  <c r="AR120" i="4037"/>
  <c r="Y120" i="4021"/>
  <c r="Z120" i="4021"/>
  <c r="AA120" i="4021"/>
  <c r="AB120" i="4021"/>
  <c r="AC120" i="4021"/>
  <c r="AD120" i="4021"/>
  <c r="AE120" i="4021"/>
  <c r="AF120" i="4021"/>
  <c r="AG120" i="4021"/>
  <c r="AH120" i="4021"/>
  <c r="AI120" i="4021"/>
  <c r="AJ120" i="4021"/>
  <c r="AK120" i="4021"/>
  <c r="AL120" i="4021"/>
  <c r="AM120" i="4021"/>
  <c r="AN120" i="4021"/>
  <c r="AO120" i="4021"/>
  <c r="AP120" i="4021"/>
  <c r="AQ120" i="4021"/>
  <c r="AR120" i="4021"/>
  <c r="T120" i="4020"/>
  <c r="U120" i="4020"/>
  <c r="V120" i="4020"/>
  <c r="W120" i="4020"/>
  <c r="X120" i="4020"/>
  <c r="Y120" i="4020"/>
  <c r="Z120" i="4020"/>
  <c r="AA120" i="4020"/>
  <c r="AB120" i="4020"/>
  <c r="AC120" i="4020"/>
  <c r="AD120" i="4020"/>
  <c r="AE120" i="4020"/>
  <c r="AF120" i="4020"/>
  <c r="AG120" i="4020"/>
  <c r="AH120" i="4020"/>
  <c r="AI120" i="4020"/>
  <c r="AJ120" i="4020"/>
  <c r="AK120" i="4020"/>
  <c r="AL120" i="4020"/>
  <c r="AM120" i="4020"/>
  <c r="AN120" i="4020"/>
  <c r="AO120" i="4020"/>
  <c r="AP120" i="4020"/>
  <c r="AQ120" i="4020"/>
  <c r="AR120" i="4020"/>
  <c r="T120" i="4019"/>
  <c r="U120" i="4019"/>
  <c r="V120" i="4019"/>
  <c r="W120" i="4019"/>
  <c r="X120" i="4019"/>
  <c r="Y120" i="4019"/>
  <c r="Z120" i="4019"/>
  <c r="AA120" i="4019"/>
  <c r="AB120" i="4019"/>
  <c r="AC120" i="4019"/>
  <c r="AD120" i="4019"/>
  <c r="AE120" i="4019"/>
  <c r="AF120" i="4019"/>
  <c r="AG120" i="4019"/>
  <c r="AH120" i="4019"/>
  <c r="AI120" i="4019"/>
  <c r="AJ120" i="4019"/>
  <c r="AK120" i="4019"/>
  <c r="AL120" i="4019"/>
  <c r="AM120" i="4019"/>
  <c r="AN120" i="4019"/>
  <c r="AO120" i="4019"/>
  <c r="AP120" i="4019"/>
  <c r="AQ120" i="4019"/>
  <c r="AR120" i="4019"/>
  <c r="T120" i="4018"/>
  <c r="U120" i="4018"/>
  <c r="V120" i="4018"/>
  <c r="W120" i="4018"/>
  <c r="X120" i="4018"/>
  <c r="Y120" i="4018"/>
  <c r="Z120" i="4018"/>
  <c r="AA120" i="4018"/>
  <c r="AB120" i="4018"/>
  <c r="AC120" i="4018"/>
  <c r="AD120" i="4018"/>
  <c r="AE120" i="4018"/>
  <c r="AF120" i="4018"/>
  <c r="AG120" i="4018"/>
  <c r="AH120" i="4018"/>
  <c r="AI120" i="4018"/>
  <c r="AJ120" i="4018"/>
  <c r="AK120" i="4018"/>
  <c r="AL120" i="4018"/>
  <c r="AM120" i="4018"/>
  <c r="AN120" i="4018"/>
  <c r="AO120" i="4018"/>
  <c r="AP120" i="4018"/>
  <c r="AQ120" i="4018"/>
  <c r="AR120" i="4018"/>
  <c r="C41" i="4018"/>
  <c r="E106" i="4038"/>
  <c r="F106" i="4038" s="1"/>
  <c r="G106" i="4038" s="1"/>
  <c r="H106" i="4038" s="1"/>
  <c r="I106" i="4038" s="1"/>
  <c r="J106" i="4038" s="1"/>
  <c r="K106" i="4038" s="1"/>
  <c r="L106" i="4038" s="1"/>
  <c r="M106" i="4038" s="1"/>
  <c r="N106" i="4038" s="1"/>
  <c r="O106" i="4038" s="1"/>
  <c r="P106" i="4038" s="1"/>
  <c r="Q106" i="4038" s="1"/>
  <c r="R106" i="4038" s="1"/>
  <c r="S106" i="4038" s="1"/>
  <c r="T106" i="4038" s="1"/>
  <c r="U106" i="4038" s="1"/>
  <c r="V106" i="4038" s="1"/>
  <c r="W106" i="4038" s="1"/>
  <c r="X106" i="4038" s="1"/>
  <c r="Y106" i="4038" s="1"/>
  <c r="Z106" i="4038" s="1"/>
  <c r="AA106" i="4038" s="1"/>
  <c r="AB106" i="4038" s="1"/>
  <c r="AC106" i="4038" s="1"/>
  <c r="AD106" i="4038" s="1"/>
  <c r="AE106" i="4038" s="1"/>
  <c r="AF106" i="4038" s="1"/>
  <c r="AG106" i="4038" s="1"/>
  <c r="AH106" i="4038" s="1"/>
  <c r="AI106" i="4038" s="1"/>
  <c r="AJ106" i="4038" s="1"/>
  <c r="AK106" i="4038" s="1"/>
  <c r="AL106" i="4038" s="1"/>
  <c r="AM106" i="4038" s="1"/>
  <c r="AN106" i="4038" s="1"/>
  <c r="AO106" i="4038" s="1"/>
  <c r="AP106" i="4038" s="1"/>
  <c r="AQ106" i="4038" s="1"/>
  <c r="AR106" i="4038" s="1"/>
  <c r="D107" i="4038"/>
  <c r="F125" i="4038"/>
  <c r="G125" i="4038"/>
  <c r="H125" i="4038"/>
  <c r="I125" i="4038"/>
  <c r="J125" i="4038"/>
  <c r="M125" i="4038"/>
  <c r="N125" i="4038"/>
  <c r="O125" i="4038"/>
  <c r="P125" i="4038"/>
  <c r="Q125" i="4038"/>
  <c r="V125" i="4038"/>
  <c r="Y125" i="4038"/>
  <c r="Z125" i="4038"/>
  <c r="AA125" i="4038"/>
  <c r="AB125" i="4038"/>
  <c r="AC125" i="4038"/>
  <c r="AD125" i="4038"/>
  <c r="AE125" i="4038"/>
  <c r="AF125" i="4038"/>
  <c r="AH125" i="4038"/>
  <c r="AK125" i="4038"/>
  <c r="AL125" i="4038"/>
  <c r="AM125" i="4038"/>
  <c r="AN125" i="4038"/>
  <c r="AO125" i="4038"/>
  <c r="AP125" i="4038"/>
  <c r="AQ125" i="4038"/>
  <c r="AR125" i="4038"/>
  <c r="D108" i="4038"/>
  <c r="AA124" i="4038"/>
  <c r="E109" i="4038"/>
  <c r="F109" i="4038"/>
  <c r="G109" i="4038"/>
  <c r="H109" i="4038"/>
  <c r="I109" i="4038"/>
  <c r="J109" i="4038"/>
  <c r="K109" i="4038"/>
  <c r="L109" i="4038"/>
  <c r="M109" i="4038"/>
  <c r="N109" i="4038"/>
  <c r="O109" i="4038"/>
  <c r="P109" i="4038"/>
  <c r="Q109" i="4038"/>
  <c r="R109" i="4038"/>
  <c r="S109" i="4038"/>
  <c r="T109" i="4038"/>
  <c r="T108" i="4038" s="1"/>
  <c r="U109" i="4038"/>
  <c r="U108" i="4038" s="1"/>
  <c r="V109" i="4038"/>
  <c r="W109" i="4038"/>
  <c r="W122" i="4038" s="1"/>
  <c r="X109" i="4038"/>
  <c r="X122" i="4038" s="1"/>
  <c r="Y109" i="4038"/>
  <c r="Y124" i="4038" s="1"/>
  <c r="Z109" i="4038"/>
  <c r="Z124" i="4038" s="1"/>
  <c r="AA109" i="4038"/>
  <c r="AB109" i="4038"/>
  <c r="AB124" i="4038" s="1"/>
  <c r="AC109" i="4038"/>
  <c r="AC124" i="4038" s="1"/>
  <c r="AD109" i="4038"/>
  <c r="AD124" i="4038" s="1"/>
  <c r="AE109" i="4038"/>
  <c r="AE124" i="4038" s="1"/>
  <c r="AF109" i="4038"/>
  <c r="AF124" i="4038" s="1"/>
  <c r="AG109" i="4038"/>
  <c r="AG124" i="4038" s="1"/>
  <c r="AH109" i="4038"/>
  <c r="AH124" i="4038" s="1"/>
  <c r="AI109" i="4038"/>
  <c r="AI124" i="4038" s="1"/>
  <c r="AJ109" i="4038"/>
  <c r="AJ124" i="4038" s="1"/>
  <c r="AK109" i="4038"/>
  <c r="AK124" i="4038" s="1"/>
  <c r="AL109" i="4038"/>
  <c r="AL124" i="4038" s="1"/>
  <c r="AM109" i="4038"/>
  <c r="AM124" i="4038" s="1"/>
  <c r="AN109" i="4038"/>
  <c r="AN124" i="4038" s="1"/>
  <c r="AO109" i="4038"/>
  <c r="AO124" i="4038" s="1"/>
  <c r="AP109" i="4038"/>
  <c r="AP124" i="4038" s="1"/>
  <c r="AQ109" i="4038"/>
  <c r="AQ124" i="4038" s="1"/>
  <c r="AR109" i="4038"/>
  <c r="AR124" i="4038" s="1"/>
  <c r="C115" i="4038"/>
  <c r="C116" i="4038"/>
  <c r="E116" i="4038"/>
  <c r="F116" i="4038"/>
  <c r="G116" i="4038"/>
  <c r="H116" i="4038"/>
  <c r="I116" i="4038"/>
  <c r="J116" i="4038"/>
  <c r="K116" i="4038"/>
  <c r="L116" i="4038"/>
  <c r="M116" i="4038"/>
  <c r="N116" i="4038"/>
  <c r="O116" i="4038"/>
  <c r="P116" i="4038"/>
  <c r="Q116" i="4038"/>
  <c r="R116" i="4038"/>
  <c r="S116" i="4038"/>
  <c r="T116" i="4038"/>
  <c r="U116" i="4038"/>
  <c r="V116" i="4038"/>
  <c r="W116" i="4038"/>
  <c r="X116" i="4038"/>
  <c r="Y116" i="4038"/>
  <c r="Z116" i="4038"/>
  <c r="AA116" i="4038"/>
  <c r="AB116" i="4038"/>
  <c r="AC116" i="4038"/>
  <c r="AD116" i="4038"/>
  <c r="AE116" i="4038"/>
  <c r="AF116" i="4038"/>
  <c r="AG116" i="4038"/>
  <c r="AH116" i="4038"/>
  <c r="AI116" i="4038"/>
  <c r="AJ116" i="4038"/>
  <c r="AK116" i="4038"/>
  <c r="AL116" i="4038"/>
  <c r="AM116" i="4038"/>
  <c r="AN116" i="4038"/>
  <c r="AO116" i="4038"/>
  <c r="AP116" i="4038"/>
  <c r="AQ116" i="4038"/>
  <c r="AR116" i="4038"/>
  <c r="E117" i="4038"/>
  <c r="F117" i="4038"/>
  <c r="G117" i="4038"/>
  <c r="H117" i="4038"/>
  <c r="I117" i="4038"/>
  <c r="J117" i="4038"/>
  <c r="K117" i="4038"/>
  <c r="L117" i="4038"/>
  <c r="M117" i="4038"/>
  <c r="N117" i="4038"/>
  <c r="O117" i="4038"/>
  <c r="P117" i="4038"/>
  <c r="Q117" i="4038"/>
  <c r="R117" i="4038"/>
  <c r="S117" i="4038"/>
  <c r="T117" i="4038"/>
  <c r="U117" i="4038"/>
  <c r="V117" i="4038"/>
  <c r="W117" i="4038"/>
  <c r="X117" i="4038"/>
  <c r="Y117" i="4038"/>
  <c r="Z117" i="4038"/>
  <c r="AA117" i="4038"/>
  <c r="AB117" i="4038"/>
  <c r="AC117" i="4038"/>
  <c r="AD117" i="4038"/>
  <c r="AE117" i="4038"/>
  <c r="AF117" i="4038"/>
  <c r="AG117" i="4038"/>
  <c r="AH117" i="4038"/>
  <c r="AI117" i="4038"/>
  <c r="AJ117" i="4038"/>
  <c r="AK117" i="4038"/>
  <c r="AL117" i="4038"/>
  <c r="AM117" i="4038"/>
  <c r="AN117" i="4038"/>
  <c r="AO117" i="4038"/>
  <c r="AP117" i="4038"/>
  <c r="AQ117" i="4038"/>
  <c r="AR117" i="4038"/>
  <c r="C118" i="4038"/>
  <c r="E121" i="4038"/>
  <c r="F121" i="4038"/>
  <c r="G121" i="4038"/>
  <c r="H121" i="4038"/>
  <c r="I121" i="4038"/>
  <c r="J121" i="4038"/>
  <c r="K121" i="4038"/>
  <c r="L121" i="4038"/>
  <c r="M121" i="4038"/>
  <c r="N121" i="4038"/>
  <c r="O121" i="4038"/>
  <c r="P121" i="4038"/>
  <c r="Q121" i="4038"/>
  <c r="R121" i="4038"/>
  <c r="S121" i="4038"/>
  <c r="T121" i="4038"/>
  <c r="U121" i="4038"/>
  <c r="V121" i="4038"/>
  <c r="W121" i="4038"/>
  <c r="X121" i="4038"/>
  <c r="Y121" i="4038"/>
  <c r="Z121" i="4038"/>
  <c r="Z131" i="4038" s="1"/>
  <c r="AA121" i="4038"/>
  <c r="AB121" i="4038"/>
  <c r="AC121" i="4038"/>
  <c r="AD121" i="4038"/>
  <c r="AE121" i="4038"/>
  <c r="AF121" i="4038"/>
  <c r="AG121" i="4038"/>
  <c r="AH121" i="4038"/>
  <c r="AI121" i="4038"/>
  <c r="AJ121" i="4038"/>
  <c r="AK121" i="4038"/>
  <c r="AL121" i="4038"/>
  <c r="AM121" i="4038"/>
  <c r="AN121" i="4038"/>
  <c r="AO121" i="4038"/>
  <c r="AP121" i="4038"/>
  <c r="AQ121" i="4038"/>
  <c r="AR121" i="4038"/>
  <c r="E122" i="4038"/>
  <c r="F122" i="4038"/>
  <c r="G122" i="4038"/>
  <c r="H122" i="4038"/>
  <c r="I122" i="4038"/>
  <c r="J122" i="4038"/>
  <c r="K122" i="4038"/>
  <c r="L122" i="4038"/>
  <c r="M122" i="4038"/>
  <c r="N122" i="4038"/>
  <c r="O122" i="4038"/>
  <c r="P122" i="4038"/>
  <c r="Q122" i="4038"/>
  <c r="R122" i="4038"/>
  <c r="S122" i="4038"/>
  <c r="V122" i="4038"/>
  <c r="Y122" i="4038"/>
  <c r="Z122" i="4038"/>
  <c r="AA122" i="4038"/>
  <c r="AB122" i="4038"/>
  <c r="AC122" i="4038"/>
  <c r="AD122" i="4038"/>
  <c r="AE122" i="4038"/>
  <c r="AF122" i="4038"/>
  <c r="AG122" i="4038"/>
  <c r="AH122" i="4038"/>
  <c r="AI122" i="4038"/>
  <c r="AJ122" i="4038"/>
  <c r="AK122" i="4038"/>
  <c r="AL122" i="4038"/>
  <c r="AM122" i="4038"/>
  <c r="AN122" i="4038"/>
  <c r="AO122" i="4038"/>
  <c r="AP122" i="4038"/>
  <c r="AQ122" i="4038"/>
  <c r="AR122" i="4038"/>
  <c r="E123" i="4038"/>
  <c r="F123" i="4038"/>
  <c r="G123" i="4038"/>
  <c r="H123" i="4038"/>
  <c r="I123" i="4038"/>
  <c r="J123" i="4038"/>
  <c r="K123" i="4038"/>
  <c r="L123" i="4038"/>
  <c r="M123" i="4038"/>
  <c r="N123" i="4038"/>
  <c r="O123" i="4038"/>
  <c r="P123" i="4038"/>
  <c r="Q123" i="4038"/>
  <c r="R123" i="4038"/>
  <c r="S123" i="4038"/>
  <c r="T123" i="4038"/>
  <c r="U123" i="4038"/>
  <c r="V123" i="4038"/>
  <c r="W123" i="4038"/>
  <c r="X123" i="4038"/>
  <c r="Y123" i="4038"/>
  <c r="Z123" i="4038"/>
  <c r="AA123" i="4038"/>
  <c r="AB123" i="4038"/>
  <c r="AC123" i="4038"/>
  <c r="AD123" i="4038"/>
  <c r="AE123" i="4038"/>
  <c r="AF123" i="4038"/>
  <c r="AG123" i="4038"/>
  <c r="AH123" i="4038"/>
  <c r="AI123" i="4038"/>
  <c r="AJ123" i="4038"/>
  <c r="AK123" i="4038"/>
  <c r="AL123" i="4038"/>
  <c r="AM123" i="4038"/>
  <c r="AN123" i="4038"/>
  <c r="AO123" i="4038"/>
  <c r="AP123" i="4038"/>
  <c r="AQ123" i="4038"/>
  <c r="AR123" i="4038"/>
  <c r="C124" i="4038"/>
  <c r="E124" i="4038"/>
  <c r="C125" i="4038"/>
  <c r="E125" i="4038"/>
  <c r="K125" i="4038"/>
  <c r="L125" i="4038"/>
  <c r="R125" i="4038"/>
  <c r="S125" i="4038"/>
  <c r="T125" i="4038"/>
  <c r="U125" i="4038"/>
  <c r="W125" i="4038"/>
  <c r="X125" i="4038"/>
  <c r="AG125" i="4038"/>
  <c r="AI125" i="4038"/>
  <c r="AJ125" i="4038"/>
  <c r="T134" i="4038"/>
  <c r="U134" i="4038"/>
  <c r="V134" i="4038"/>
  <c r="W134" i="4038"/>
  <c r="X134" i="4038"/>
  <c r="Y134" i="4038"/>
  <c r="Z134" i="4038"/>
  <c r="AA134" i="4038"/>
  <c r="AB134" i="4038"/>
  <c r="AC134" i="4038"/>
  <c r="AD134" i="4038"/>
  <c r="AE134" i="4038"/>
  <c r="AF134" i="4038"/>
  <c r="AG134" i="4038"/>
  <c r="AH134" i="4038"/>
  <c r="AI134" i="4038"/>
  <c r="AJ134" i="4038"/>
  <c r="AK134" i="4038"/>
  <c r="AL134" i="4038"/>
  <c r="AM134" i="4038"/>
  <c r="AN134" i="4038"/>
  <c r="AO134" i="4038"/>
  <c r="AP134" i="4038"/>
  <c r="AQ134" i="4038"/>
  <c r="AR134" i="4038"/>
  <c r="T135" i="4038"/>
  <c r="U135" i="4038"/>
  <c r="V135" i="4038"/>
  <c r="W135" i="4038"/>
  <c r="X135" i="4038"/>
  <c r="Y135" i="4038"/>
  <c r="Z135" i="4038"/>
  <c r="AA135" i="4038"/>
  <c r="AB135" i="4038"/>
  <c r="AC135" i="4038"/>
  <c r="AD135" i="4038"/>
  <c r="AE135" i="4038"/>
  <c r="AF135" i="4038"/>
  <c r="AG135" i="4038"/>
  <c r="AH135" i="4038"/>
  <c r="AI135" i="4038"/>
  <c r="AJ135" i="4038"/>
  <c r="AK135" i="4038"/>
  <c r="AL135" i="4038"/>
  <c r="AM135" i="4038"/>
  <c r="AN135" i="4038"/>
  <c r="AO135" i="4038"/>
  <c r="AP135" i="4038"/>
  <c r="AQ135" i="4038"/>
  <c r="AR135" i="4038"/>
  <c r="T136" i="4038"/>
  <c r="U136" i="4038"/>
  <c r="V136" i="4038"/>
  <c r="W136" i="4038"/>
  <c r="X136" i="4038"/>
  <c r="Y136" i="4038"/>
  <c r="Z136" i="4038"/>
  <c r="AA136" i="4038"/>
  <c r="AB136" i="4038"/>
  <c r="AC136" i="4038"/>
  <c r="AD136" i="4038"/>
  <c r="AE136" i="4038"/>
  <c r="AF136" i="4038"/>
  <c r="AG136" i="4038"/>
  <c r="AH136" i="4038"/>
  <c r="AI136" i="4038"/>
  <c r="AJ136" i="4038"/>
  <c r="AK136" i="4038"/>
  <c r="AL136" i="4038"/>
  <c r="AM136" i="4038"/>
  <c r="AN136" i="4038"/>
  <c r="AO136" i="4038"/>
  <c r="AP136" i="4038"/>
  <c r="AQ136" i="4038"/>
  <c r="AR136" i="4038"/>
  <c r="C145" i="4038"/>
  <c r="T145" i="4038"/>
  <c r="U145" i="4038"/>
  <c r="V145" i="4038"/>
  <c r="W145" i="4038"/>
  <c r="X145" i="4038"/>
  <c r="Y145" i="4038"/>
  <c r="Z145" i="4038"/>
  <c r="AA145" i="4038"/>
  <c r="AB145" i="4038"/>
  <c r="AC145" i="4038"/>
  <c r="AD145" i="4038"/>
  <c r="AE145" i="4038"/>
  <c r="AF145" i="4038"/>
  <c r="AG145" i="4038"/>
  <c r="AH145" i="4038"/>
  <c r="AI145" i="4038"/>
  <c r="AJ145" i="4038"/>
  <c r="AK145" i="4038"/>
  <c r="AL145" i="4038"/>
  <c r="AM145" i="4038"/>
  <c r="AN145" i="4038"/>
  <c r="AO145" i="4038"/>
  <c r="AP145" i="4038"/>
  <c r="AQ145" i="4038"/>
  <c r="AR145" i="4038"/>
  <c r="T147" i="4038"/>
  <c r="U147" i="4038"/>
  <c r="V147" i="4038"/>
  <c r="W147" i="4038"/>
  <c r="X147" i="4038"/>
  <c r="Y147" i="4038"/>
  <c r="Z147" i="4038"/>
  <c r="AA147" i="4038"/>
  <c r="AB147" i="4038"/>
  <c r="AC147" i="4038"/>
  <c r="AD147" i="4038"/>
  <c r="AE147" i="4038"/>
  <c r="AF147" i="4038"/>
  <c r="AG147" i="4038"/>
  <c r="AH147" i="4038"/>
  <c r="AI147" i="4038"/>
  <c r="AJ147" i="4038"/>
  <c r="AK147" i="4038"/>
  <c r="AL147" i="4038"/>
  <c r="AM147" i="4038"/>
  <c r="AN147" i="4038"/>
  <c r="AO147" i="4038"/>
  <c r="AP147" i="4038"/>
  <c r="AQ147" i="4038"/>
  <c r="AR147" i="4038"/>
  <c r="D151" i="4038"/>
  <c r="C92" i="4038"/>
  <c r="C41" i="4038" s="1"/>
  <c r="D84" i="4038"/>
  <c r="D85" i="4038"/>
  <c r="D63" i="4038"/>
  <c r="D64" i="4038"/>
  <c r="D65" i="4038"/>
  <c r="D70" i="4038"/>
  <c r="C53" i="4038"/>
  <c r="D55" i="4038"/>
  <c r="C56" i="4038"/>
  <c r="D57" i="4038"/>
  <c r="C58" i="4038"/>
  <c r="D59" i="4038"/>
  <c r="C60" i="4038"/>
  <c r="D39" i="4038"/>
  <c r="D40" i="4038"/>
  <c r="D42" i="4038"/>
  <c r="D43" i="4038"/>
  <c r="C44" i="4038"/>
  <c r="D45" i="4038"/>
  <c r="E45" i="4038"/>
  <c r="D46" i="4038"/>
  <c r="E46" i="4038"/>
  <c r="D47" i="4038"/>
  <c r="E47" i="4038"/>
  <c r="D48" i="4038"/>
  <c r="C49" i="4038"/>
  <c r="D49" i="4038"/>
  <c r="C33" i="4038"/>
  <c r="C34" i="4038" s="1"/>
  <c r="M115" i="4038" s="1"/>
  <c r="C35" i="4038"/>
  <c r="D21" i="4038"/>
  <c r="C25" i="4038"/>
  <c r="D26" i="4038"/>
  <c r="C27" i="4038"/>
  <c r="D28" i="4038"/>
  <c r="E12" i="4038"/>
  <c r="D13" i="4038"/>
  <c r="E13" i="4038"/>
  <c r="D5" i="4038"/>
  <c r="D12" i="65"/>
  <c r="D14" i="65"/>
  <c r="F12" i="65"/>
  <c r="U14" i="65"/>
  <c r="U12" i="65"/>
  <c r="T12" i="65"/>
  <c r="C14" i="65"/>
  <c r="C12" i="65"/>
  <c r="B14" i="65"/>
  <c r="F14" i="65"/>
  <c r="T14" i="65"/>
  <c r="B12" i="65"/>
  <c r="V14" i="65"/>
  <c r="V12" i="65"/>
  <c r="AQ131" i="4038" l="1"/>
  <c r="AE131" i="4038"/>
  <c r="AL131" i="4038"/>
  <c r="AO137" i="4038"/>
  <c r="AC137" i="4038"/>
  <c r="AD137" i="4038"/>
  <c r="AN137" i="4038"/>
  <c r="AG137" i="4038"/>
  <c r="U137" i="4038"/>
  <c r="AP131" i="4038"/>
  <c r="AM131" i="4038"/>
  <c r="AJ131" i="4038"/>
  <c r="AD131" i="4038"/>
  <c r="AB137" i="4038"/>
  <c r="V108" i="4038"/>
  <c r="V124" i="4038" s="1"/>
  <c r="S108" i="4038"/>
  <c r="S124" i="4038" s="1"/>
  <c r="P108" i="4038"/>
  <c r="P124" i="4038" s="1"/>
  <c r="M108" i="4038"/>
  <c r="M124" i="4038" s="1"/>
  <c r="J108" i="4038"/>
  <c r="J124" i="4038" s="1"/>
  <c r="G108" i="4038"/>
  <c r="G124" i="4038" s="1"/>
  <c r="AI131" i="4038"/>
  <c r="L108" i="4038"/>
  <c r="L124" i="4038" s="1"/>
  <c r="I108" i="4038"/>
  <c r="I124" i="4038" s="1"/>
  <c r="X108" i="4038"/>
  <c r="X124" i="4038" s="1"/>
  <c r="R108" i="4038"/>
  <c r="R124" i="4038" s="1"/>
  <c r="O108" i="4038"/>
  <c r="O124" i="4038" s="1"/>
  <c r="F108" i="4038"/>
  <c r="F124" i="4038" s="1"/>
  <c r="AE137" i="4038"/>
  <c r="W108" i="4038"/>
  <c r="W124" i="4038" s="1"/>
  <c r="Q108" i="4038"/>
  <c r="Q124" i="4038" s="1"/>
  <c r="N108" i="4038"/>
  <c r="N124" i="4038" s="1"/>
  <c r="K108" i="4038"/>
  <c r="K124" i="4038" s="1"/>
  <c r="H108" i="4038"/>
  <c r="H124" i="4038" s="1"/>
  <c r="AG131" i="4038"/>
  <c r="AH131" i="4038"/>
  <c r="AP137" i="4038"/>
  <c r="E102" i="4038"/>
  <c r="AL137" i="4038"/>
  <c r="Z137" i="4038"/>
  <c r="AA131" i="4038"/>
  <c r="AH137" i="4038"/>
  <c r="V137" i="4038"/>
  <c r="AR137" i="4038"/>
  <c r="AF137" i="4038"/>
  <c r="T137" i="4038"/>
  <c r="AQ137" i="4038"/>
  <c r="AM137" i="4038"/>
  <c r="AR131" i="4038"/>
  <c r="AF131" i="4038"/>
  <c r="AO131" i="4038"/>
  <c r="AC131" i="4038"/>
  <c r="P115" i="4038"/>
  <c r="AM115" i="4038"/>
  <c r="AM118" i="4038" s="1"/>
  <c r="AM126" i="4038" s="1"/>
  <c r="AK131" i="4038"/>
  <c r="Y131" i="4038"/>
  <c r="AL115" i="4038"/>
  <c r="AL118" i="4038" s="1"/>
  <c r="AL128" i="4038" s="1"/>
  <c r="AK115" i="4038"/>
  <c r="AK118" i="4038" s="1"/>
  <c r="AK126" i="4038" s="1"/>
  <c r="AJ115" i="4038"/>
  <c r="AJ118" i="4038" s="1"/>
  <c r="AJ126" i="4038" s="1"/>
  <c r="AN131" i="4038"/>
  <c r="AB131" i="4038"/>
  <c r="AK137" i="4038"/>
  <c r="X137" i="4038"/>
  <c r="Y137" i="4038"/>
  <c r="AJ137" i="4038"/>
  <c r="AA137" i="4038"/>
  <c r="M118" i="4038"/>
  <c r="AA115" i="4038"/>
  <c r="C152" i="4038"/>
  <c r="C157" i="4038" s="1"/>
  <c r="C154" i="4038"/>
  <c r="Z115" i="4038"/>
  <c r="AI137" i="4038"/>
  <c r="W137" i="4038"/>
  <c r="Y115" i="4038"/>
  <c r="X115" i="4038"/>
  <c r="U124" i="4038"/>
  <c r="U122" i="4038"/>
  <c r="T124" i="4038"/>
  <c r="T122" i="4038"/>
  <c r="O115" i="4038"/>
  <c r="N115" i="4038"/>
  <c r="AJ128" i="4038"/>
  <c r="K115" i="4038"/>
  <c r="K118" i="4038" s="1"/>
  <c r="AI115" i="4038"/>
  <c r="AI118" i="4038" s="1"/>
  <c r="AI128" i="4038" s="1"/>
  <c r="W115" i="4038"/>
  <c r="W118" i="4038" s="1"/>
  <c r="L115" i="4038"/>
  <c r="L118" i="4038" s="1"/>
  <c r="L120" i="4038" s="1"/>
  <c r="AH115" i="4038"/>
  <c r="AH118" i="4038" s="1"/>
  <c r="AH128" i="4038" s="1"/>
  <c r="V115" i="4038"/>
  <c r="V118" i="4038" s="1"/>
  <c r="J115" i="4038"/>
  <c r="J118" i="4038" s="1"/>
  <c r="AG115" i="4038"/>
  <c r="AG118" i="4038" s="1"/>
  <c r="AG126" i="4038" s="1"/>
  <c r="U115" i="4038"/>
  <c r="U118" i="4038" s="1"/>
  <c r="I115" i="4038"/>
  <c r="I118" i="4038" s="1"/>
  <c r="AR115" i="4038"/>
  <c r="AF115" i="4038"/>
  <c r="T115" i="4038"/>
  <c r="T118" i="4038" s="1"/>
  <c r="T120" i="4038" s="1"/>
  <c r="H115" i="4038"/>
  <c r="AQ115" i="4038"/>
  <c r="AE115" i="4038"/>
  <c r="S115" i="4038"/>
  <c r="G115" i="4038"/>
  <c r="AP115" i="4038"/>
  <c r="AD115" i="4038"/>
  <c r="R115" i="4038"/>
  <c r="F115" i="4038"/>
  <c r="AO115" i="4038"/>
  <c r="AC115" i="4038"/>
  <c r="Q115" i="4038"/>
  <c r="E115" i="4038"/>
  <c r="AN115" i="4038"/>
  <c r="AB115" i="4038"/>
  <c r="V126" i="4038" l="1"/>
  <c r="AL126" i="4038"/>
  <c r="AH126" i="4038"/>
  <c r="M128" i="4038"/>
  <c r="M120" i="4038"/>
  <c r="M131" i="4038" s="1"/>
  <c r="J126" i="4038"/>
  <c r="M126" i="4038"/>
  <c r="M130" i="4038" s="1"/>
  <c r="W120" i="4038"/>
  <c r="W131" i="4038" s="1"/>
  <c r="U120" i="4038"/>
  <c r="U131" i="4038" s="1"/>
  <c r="J120" i="4038"/>
  <c r="J131" i="4038" s="1"/>
  <c r="V120" i="4038"/>
  <c r="V131" i="4038" s="1"/>
  <c r="P118" i="4038"/>
  <c r="P128" i="4038" s="1"/>
  <c r="K126" i="4038"/>
  <c r="K120" i="4038"/>
  <c r="K131" i="4038" s="1"/>
  <c r="AI126" i="4038"/>
  <c r="AK128" i="4038"/>
  <c r="AM128" i="4038"/>
  <c r="I145" i="4038"/>
  <c r="I120" i="4038"/>
  <c r="I131" i="4038" s="1"/>
  <c r="T126" i="4038"/>
  <c r="W128" i="4038"/>
  <c r="I128" i="4038"/>
  <c r="I126" i="4038"/>
  <c r="U128" i="4038"/>
  <c r="L131" i="4038"/>
  <c r="L145" i="4038"/>
  <c r="AO118" i="4038"/>
  <c r="AN118" i="4038"/>
  <c r="AQ118" i="4038"/>
  <c r="L126" i="4038"/>
  <c r="W126" i="4038"/>
  <c r="H134" i="4038"/>
  <c r="I134" i="4038"/>
  <c r="J134" i="4038"/>
  <c r="K134" i="4038"/>
  <c r="L134" i="4038"/>
  <c r="M134" i="4038"/>
  <c r="N134" i="4038"/>
  <c r="O134" i="4038"/>
  <c r="E134" i="4038"/>
  <c r="C158" i="4038"/>
  <c r="D143" i="4038" s="1"/>
  <c r="F134" i="4038"/>
  <c r="G134" i="4038"/>
  <c r="P134" i="4038"/>
  <c r="Q134" i="4038"/>
  <c r="D113" i="4038"/>
  <c r="D146" i="4038" s="1"/>
  <c r="R134" i="4038"/>
  <c r="S134" i="4038"/>
  <c r="N118" i="4038"/>
  <c r="N120" i="4038" s="1"/>
  <c r="H118" i="4038"/>
  <c r="H120" i="4038" s="1"/>
  <c r="Q118" i="4038"/>
  <c r="Q120" i="4038" s="1"/>
  <c r="AF118" i="4038"/>
  <c r="AR118" i="4038"/>
  <c r="F118" i="4038"/>
  <c r="F120" i="4038" s="1"/>
  <c r="R118" i="4038"/>
  <c r="R120" i="4038" s="1"/>
  <c r="AG128" i="4038"/>
  <c r="AD118" i="4038"/>
  <c r="AJ130" i="4038"/>
  <c r="AJ132" i="4038" s="1"/>
  <c r="U126" i="4038"/>
  <c r="T128" i="4038"/>
  <c r="E118" i="4038"/>
  <c r="E120" i="4038" s="1"/>
  <c r="C159" i="4038"/>
  <c r="AP118" i="4038"/>
  <c r="AA118" i="4038"/>
  <c r="T131" i="4038"/>
  <c r="G118" i="4038"/>
  <c r="G120" i="4038" s="1"/>
  <c r="J145" i="4038"/>
  <c r="J128" i="4038"/>
  <c r="O118" i="4038"/>
  <c r="O120" i="4038" s="1"/>
  <c r="AC118" i="4038"/>
  <c r="Y118" i="4038"/>
  <c r="S118" i="4038"/>
  <c r="S120" i="4038" s="1"/>
  <c r="V128" i="4038"/>
  <c r="K145" i="4038"/>
  <c r="K128" i="4038"/>
  <c r="P135" i="4038"/>
  <c r="L136" i="4038"/>
  <c r="G136" i="4038"/>
  <c r="E135" i="4038"/>
  <c r="Q135" i="4038"/>
  <c r="M136" i="4038"/>
  <c r="F135" i="4038"/>
  <c r="R135" i="4038"/>
  <c r="N136" i="4038"/>
  <c r="K135" i="4038"/>
  <c r="G135" i="4038"/>
  <c r="S135" i="4038"/>
  <c r="O136" i="4038"/>
  <c r="H135" i="4038"/>
  <c r="P136" i="4038"/>
  <c r="I135" i="4038"/>
  <c r="E136" i="4038"/>
  <c r="Q136" i="4038"/>
  <c r="J135" i="4038"/>
  <c r="F136" i="4038"/>
  <c r="R136" i="4038"/>
  <c r="S136" i="4038"/>
  <c r="N135" i="4038"/>
  <c r="O135" i="4038"/>
  <c r="M135" i="4038"/>
  <c r="H136" i="4038"/>
  <c r="L135" i="4038"/>
  <c r="I136" i="4038"/>
  <c r="J136" i="4038"/>
  <c r="K136" i="4038"/>
  <c r="X118" i="4038"/>
  <c r="X120" i="4038" s="1"/>
  <c r="Z118" i="4038"/>
  <c r="AB118" i="4038"/>
  <c r="AE118" i="4038"/>
  <c r="L128" i="4038"/>
  <c r="M145" i="4038"/>
  <c r="S14" i="65"/>
  <c r="AH130" i="4038" l="1"/>
  <c r="AH132" i="4038" s="1"/>
  <c r="AM130" i="4038"/>
  <c r="AM132" i="4038" s="1"/>
  <c r="AM139" i="4038" s="1"/>
  <c r="AM140" i="4038" s="1"/>
  <c r="AM143" i="4038" s="1"/>
  <c r="I130" i="4038"/>
  <c r="I132" i="4038" s="1"/>
  <c r="I139" i="4038" s="1"/>
  <c r="AK130" i="4038"/>
  <c r="AK132" i="4038" s="1"/>
  <c r="AK139" i="4038" s="1"/>
  <c r="AK140" i="4038" s="1"/>
  <c r="AK142" i="4038" s="1"/>
  <c r="AK144" i="4038" s="1"/>
  <c r="U130" i="4038"/>
  <c r="U132" i="4038" s="1"/>
  <c r="U139" i="4038" s="1"/>
  <c r="U140" i="4038" s="1"/>
  <c r="U142" i="4038" s="1"/>
  <c r="U144" i="4038" s="1"/>
  <c r="AL130" i="4038"/>
  <c r="AL132" i="4038" s="1"/>
  <c r="AL139" i="4038" s="1"/>
  <c r="AL140" i="4038" s="1"/>
  <c r="AL142" i="4038" s="1"/>
  <c r="AL144" i="4038" s="1"/>
  <c r="AI130" i="4038"/>
  <c r="AI132" i="4038" s="1"/>
  <c r="AI139" i="4038" s="1"/>
  <c r="AI140" i="4038" s="1"/>
  <c r="AI142" i="4038" s="1"/>
  <c r="AI144" i="4038" s="1"/>
  <c r="K130" i="4038"/>
  <c r="K132" i="4038" s="1"/>
  <c r="K139" i="4038" s="1"/>
  <c r="P126" i="4038"/>
  <c r="P130" i="4038" s="1"/>
  <c r="P120" i="4038"/>
  <c r="P131" i="4038" s="1"/>
  <c r="AG130" i="4038"/>
  <c r="AG132" i="4038" s="1"/>
  <c r="AG139" i="4038" s="1"/>
  <c r="AG140" i="4038" s="1"/>
  <c r="AG142" i="4038" s="1"/>
  <c r="AG144" i="4038" s="1"/>
  <c r="P145" i="4038"/>
  <c r="V130" i="4038"/>
  <c r="V132" i="4038" s="1"/>
  <c r="M137" i="4038"/>
  <c r="T130" i="4038"/>
  <c r="T132" i="4038" s="1"/>
  <c r="T139" i="4038" s="1"/>
  <c r="T140" i="4038" s="1"/>
  <c r="T142" i="4038" s="1"/>
  <c r="T144" i="4038" s="1"/>
  <c r="J130" i="4038"/>
  <c r="J132" i="4038" s="1"/>
  <c r="J139" i="4038" s="1"/>
  <c r="K137" i="4038"/>
  <c r="H137" i="4038"/>
  <c r="S137" i="4038"/>
  <c r="P137" i="4038"/>
  <c r="F137" i="4038"/>
  <c r="N137" i="4038"/>
  <c r="AH139" i="4038"/>
  <c r="AH140" i="4038" s="1"/>
  <c r="AH142" i="4038" s="1"/>
  <c r="AH144" i="4038" s="1"/>
  <c r="L137" i="4038"/>
  <c r="E137" i="4038"/>
  <c r="M132" i="4038"/>
  <c r="AD126" i="4038"/>
  <c r="AD128" i="4038"/>
  <c r="AN126" i="4038"/>
  <c r="AN128" i="4038"/>
  <c r="H145" i="4038"/>
  <c r="H128" i="4038"/>
  <c r="H131" i="4038"/>
  <c r="H126" i="4038"/>
  <c r="AO126" i="4038"/>
  <c r="AO128" i="4038"/>
  <c r="AF126" i="4038"/>
  <c r="AF128" i="4038"/>
  <c r="Q145" i="4038"/>
  <c r="Q131" i="4038"/>
  <c r="Q126" i="4038"/>
  <c r="Q128" i="4038"/>
  <c r="AE126" i="4038"/>
  <c r="AE128" i="4038"/>
  <c r="AQ128" i="4038"/>
  <c r="AQ126" i="4038"/>
  <c r="G137" i="4038"/>
  <c r="R137" i="4038"/>
  <c r="R145" i="4038"/>
  <c r="R126" i="4038"/>
  <c r="R131" i="4038"/>
  <c r="R128" i="4038"/>
  <c r="W130" i="4038"/>
  <c r="W132" i="4038" s="1"/>
  <c r="AB126" i="4038"/>
  <c r="AB128" i="4038"/>
  <c r="X131" i="4038"/>
  <c r="X126" i="4038"/>
  <c r="X128" i="4038"/>
  <c r="J137" i="4038"/>
  <c r="G145" i="4038"/>
  <c r="G131" i="4038"/>
  <c r="G128" i="4038"/>
  <c r="G126" i="4038"/>
  <c r="C160" i="4038"/>
  <c r="N131" i="4038"/>
  <c r="N145" i="4038"/>
  <c r="N126" i="4038"/>
  <c r="N128" i="4038"/>
  <c r="AP126" i="4038"/>
  <c r="AP128" i="4038"/>
  <c r="O131" i="4038"/>
  <c r="O145" i="4038"/>
  <c r="O128" i="4038"/>
  <c r="O126" i="4038"/>
  <c r="S145" i="4038"/>
  <c r="S126" i="4038"/>
  <c r="S131" i="4038"/>
  <c r="S128" i="4038"/>
  <c r="E145" i="4038"/>
  <c r="C85" i="4038"/>
  <c r="E131" i="4038"/>
  <c r="E126" i="4038"/>
  <c r="C84" i="4038"/>
  <c r="E128" i="4038"/>
  <c r="F145" i="4038"/>
  <c r="F126" i="4038"/>
  <c r="F131" i="4038"/>
  <c r="F128" i="4038"/>
  <c r="D144" i="4038"/>
  <c r="AC128" i="4038"/>
  <c r="AC126" i="4038"/>
  <c r="AJ139" i="4038"/>
  <c r="AJ140" i="4038" s="1"/>
  <c r="AJ142" i="4038" s="1"/>
  <c r="AJ144" i="4038" s="1"/>
  <c r="AA126" i="4038"/>
  <c r="AA128" i="4038"/>
  <c r="O137" i="4038"/>
  <c r="Z128" i="4038"/>
  <c r="Z126" i="4038"/>
  <c r="I137" i="4038"/>
  <c r="Q137" i="4038"/>
  <c r="Y128" i="4038"/>
  <c r="Y126" i="4038"/>
  <c r="AR126" i="4038"/>
  <c r="AR128" i="4038"/>
  <c r="L130" i="4038"/>
  <c r="L132" i="4038" s="1"/>
  <c r="R14" i="65"/>
  <c r="AM142" i="4038" l="1"/>
  <c r="AM144" i="4038" s="1"/>
  <c r="AI143" i="4038"/>
  <c r="AL143" i="4038"/>
  <c r="AC130" i="4038"/>
  <c r="AC132" i="4038" s="1"/>
  <c r="AC139" i="4038" s="1"/>
  <c r="AC140" i="4038" s="1"/>
  <c r="AC143" i="4038" s="1"/>
  <c r="P132" i="4038"/>
  <c r="P139" i="4038" s="1"/>
  <c r="P140" i="4038" s="1"/>
  <c r="AF130" i="4038"/>
  <c r="AF132" i="4038" s="1"/>
  <c r="AF139" i="4038" s="1"/>
  <c r="AF140" i="4038" s="1"/>
  <c r="AF142" i="4038" s="1"/>
  <c r="AF144" i="4038" s="1"/>
  <c r="U143" i="4038"/>
  <c r="C86" i="4038"/>
  <c r="C70" i="4038" s="1"/>
  <c r="G130" i="4038"/>
  <c r="G132" i="4038" s="1"/>
  <c r="G139" i="4038" s="1"/>
  <c r="AG143" i="4038"/>
  <c r="N130" i="4038"/>
  <c r="N132" i="4038" s="1"/>
  <c r="S130" i="4038"/>
  <c r="S132" i="4038" s="1"/>
  <c r="S139" i="4038" s="1"/>
  <c r="AD130" i="4038"/>
  <c r="AD132" i="4038" s="1"/>
  <c r="AD139" i="4038" s="1"/>
  <c r="AD140" i="4038" s="1"/>
  <c r="X130" i="4038"/>
  <c r="X132" i="4038" s="1"/>
  <c r="X139" i="4038" s="1"/>
  <c r="X140" i="4038" s="1"/>
  <c r="X142" i="4038" s="1"/>
  <c r="X144" i="4038" s="1"/>
  <c r="O130" i="4038"/>
  <c r="O132" i="4038" s="1"/>
  <c r="O139" i="4038" s="1"/>
  <c r="T143" i="4038"/>
  <c r="Q130" i="4038"/>
  <c r="Q132" i="4038" s="1"/>
  <c r="Z130" i="4038"/>
  <c r="Z132" i="4038" s="1"/>
  <c r="J140" i="4038"/>
  <c r="AB130" i="4038"/>
  <c r="AB132" i="4038" s="1"/>
  <c r="M139" i="4038"/>
  <c r="K140" i="4038"/>
  <c r="F130" i="4038"/>
  <c r="F132" i="4038" s="1"/>
  <c r="AK143" i="4038"/>
  <c r="AJ143" i="4038"/>
  <c r="R130" i="4038"/>
  <c r="R132" i="4038" s="1"/>
  <c r="E130" i="4038"/>
  <c r="E132" i="4038" s="1"/>
  <c r="AR130" i="4038"/>
  <c r="AR132" i="4038" s="1"/>
  <c r="Y130" i="4038"/>
  <c r="Y132" i="4038" s="1"/>
  <c r="V139" i="4038"/>
  <c r="V140" i="4038" s="1"/>
  <c r="V142" i="4038" s="1"/>
  <c r="V144" i="4038" s="1"/>
  <c r="W139" i="4038"/>
  <c r="W140" i="4038" s="1"/>
  <c r="W142" i="4038" s="1"/>
  <c r="W144" i="4038" s="1"/>
  <c r="AA130" i="4038"/>
  <c r="AA132" i="4038" s="1"/>
  <c r="AP130" i="4038"/>
  <c r="AP132" i="4038" s="1"/>
  <c r="AN130" i="4038"/>
  <c r="AN132" i="4038" s="1"/>
  <c r="L139" i="4038"/>
  <c r="C151" i="4038"/>
  <c r="AQ130" i="4038"/>
  <c r="AQ132" i="4038" s="1"/>
  <c r="AO130" i="4038"/>
  <c r="AO132" i="4038" s="1"/>
  <c r="AH143" i="4038"/>
  <c r="AE130" i="4038"/>
  <c r="AE132" i="4038" s="1"/>
  <c r="I140" i="4038"/>
  <c r="H130" i="4038"/>
  <c r="H132" i="4038" s="1"/>
  <c r="G14" i="65"/>
  <c r="W143" i="4038" l="1"/>
  <c r="AD142" i="4038"/>
  <c r="AD144" i="4038" s="1"/>
  <c r="AD143" i="4038"/>
  <c r="V143" i="4038"/>
  <c r="AF143" i="4038"/>
  <c r="X143" i="4038"/>
  <c r="E139" i="4038"/>
  <c r="M140" i="4038"/>
  <c r="S140" i="4038"/>
  <c r="O140" i="4038"/>
  <c r="AP139" i="4038"/>
  <c r="AP140" i="4038" s="1"/>
  <c r="AP142" i="4038" s="1"/>
  <c r="AP144" i="4038" s="1"/>
  <c r="N139" i="4038"/>
  <c r="I142" i="4038"/>
  <c r="I144" i="4038" s="1"/>
  <c r="I143" i="4038"/>
  <c r="AC142" i="4038"/>
  <c r="AC144" i="4038" s="1"/>
  <c r="R139" i="4038"/>
  <c r="AB139" i="4038"/>
  <c r="AB140" i="4038" s="1"/>
  <c r="AB142" i="4038" s="1"/>
  <c r="AB144" i="4038" s="1"/>
  <c r="L140" i="4038"/>
  <c r="J142" i="4038"/>
  <c r="J144" i="4038" s="1"/>
  <c r="J143" i="4038"/>
  <c r="G140" i="4038"/>
  <c r="AE139" i="4038"/>
  <c r="AE140" i="4038" s="1"/>
  <c r="AE142" i="4038" s="1"/>
  <c r="AE144" i="4038" s="1"/>
  <c r="AA139" i="4038"/>
  <c r="AA140" i="4038" s="1"/>
  <c r="AA143" i="4038" s="1"/>
  <c r="Y139" i="4038"/>
  <c r="Y140" i="4038" s="1"/>
  <c r="Y142" i="4038" s="1"/>
  <c r="Y144" i="4038" s="1"/>
  <c r="F139" i="4038"/>
  <c r="H139" i="4038"/>
  <c r="P142" i="4038"/>
  <c r="P144" i="4038" s="1"/>
  <c r="P143" i="4038"/>
  <c r="AO139" i="4038"/>
  <c r="AO140" i="4038" s="1"/>
  <c r="AO143" i="4038" s="1"/>
  <c r="AR139" i="4038"/>
  <c r="AR140" i="4038" s="1"/>
  <c r="AR142" i="4038" s="1"/>
  <c r="AR144" i="4038" s="1"/>
  <c r="K143" i="4038"/>
  <c r="K142" i="4038"/>
  <c r="K144" i="4038" s="1"/>
  <c r="Z139" i="4038"/>
  <c r="Z140" i="4038" s="1"/>
  <c r="Z142" i="4038" s="1"/>
  <c r="Z144" i="4038" s="1"/>
  <c r="AN139" i="4038"/>
  <c r="AN140" i="4038" s="1"/>
  <c r="AN143" i="4038" s="1"/>
  <c r="AQ139" i="4038"/>
  <c r="AQ140" i="4038" s="1"/>
  <c r="AQ143" i="4038" s="1"/>
  <c r="Q139" i="4038"/>
  <c r="AO142" i="4038" l="1"/>
  <c r="AO144" i="4038" s="1"/>
  <c r="AE143" i="4038"/>
  <c r="AP143" i="4038"/>
  <c r="AA142" i="4038"/>
  <c r="AA144" i="4038" s="1"/>
  <c r="AQ142" i="4038"/>
  <c r="AQ144" i="4038" s="1"/>
  <c r="AB143" i="4038"/>
  <c r="Y143" i="4038"/>
  <c r="AN142" i="4038"/>
  <c r="AN144" i="4038" s="1"/>
  <c r="H140" i="4038"/>
  <c r="O142" i="4038"/>
  <c r="O144" i="4038" s="1"/>
  <c r="O143" i="4038"/>
  <c r="R140" i="4038"/>
  <c r="S142" i="4038"/>
  <c r="S144" i="4038" s="1"/>
  <c r="S143" i="4038"/>
  <c r="Z143" i="4038"/>
  <c r="Q140" i="4038"/>
  <c r="AR143" i="4038"/>
  <c r="G143" i="4038"/>
  <c r="G142" i="4038"/>
  <c r="G144" i="4038" s="1"/>
  <c r="F140" i="4038"/>
  <c r="M143" i="4038"/>
  <c r="M142" i="4038"/>
  <c r="M144" i="4038" s="1"/>
  <c r="N140" i="4038"/>
  <c r="L143" i="4038"/>
  <c r="L142" i="4038"/>
  <c r="L144" i="4038" s="1"/>
  <c r="E140" i="4038"/>
  <c r="E142" i="4038" l="1"/>
  <c r="E143" i="4038"/>
  <c r="Q142" i="4038"/>
  <c r="Q144" i="4038" s="1"/>
  <c r="Q143" i="4038"/>
  <c r="N142" i="4038"/>
  <c r="N144" i="4038" s="1"/>
  <c r="N143" i="4038"/>
  <c r="R143" i="4038"/>
  <c r="R142" i="4038"/>
  <c r="R144" i="4038" s="1"/>
  <c r="F143" i="4038"/>
  <c r="F142" i="4038"/>
  <c r="F144" i="4038" s="1"/>
  <c r="H143" i="4038"/>
  <c r="H142" i="4038"/>
  <c r="H144" i="4038" s="1"/>
  <c r="C155" i="4038" l="1"/>
  <c r="C150" i="4038"/>
  <c r="C5" i="4038" s="1"/>
  <c r="E144" i="4038"/>
  <c r="C156" i="4038" s="1"/>
  <c r="E146" i="4038" l="1"/>
  <c r="K147" i="4038"/>
  <c r="J147" i="4038"/>
  <c r="I147" i="4038"/>
  <c r="P147" i="4038"/>
  <c r="L147" i="4038"/>
  <c r="M147" i="4038"/>
  <c r="S147" i="4038"/>
  <c r="G147" i="4038"/>
  <c r="O147" i="4038"/>
  <c r="Q147" i="4038"/>
  <c r="E147" i="4038"/>
  <c r="H147" i="4038"/>
  <c r="N147" i="4038"/>
  <c r="F147" i="4038"/>
  <c r="R147" i="4038"/>
  <c r="F146" i="4038" l="1"/>
  <c r="G146" i="4038" s="1"/>
  <c r="H146" i="4038" s="1"/>
  <c r="I146" i="4038" s="1"/>
  <c r="J146" i="4038" s="1"/>
  <c r="K146" i="4038" s="1"/>
  <c r="L146" i="4038" s="1"/>
  <c r="M146" i="4038" s="1"/>
  <c r="N146" i="4038" s="1"/>
  <c r="O146" i="4038" s="1"/>
  <c r="P146" i="4038" s="1"/>
  <c r="Q146" i="4038" s="1"/>
  <c r="R146" i="4038" s="1"/>
  <c r="S146" i="4038" s="1"/>
  <c r="T146" i="4038" s="1"/>
  <c r="U146" i="4038" s="1"/>
  <c r="V146" i="4038" s="1"/>
  <c r="W146" i="4038" s="1"/>
  <c r="X146" i="4038" s="1"/>
  <c r="Y146" i="4038" s="1"/>
  <c r="Z146" i="4038" s="1"/>
  <c r="AA146" i="4038" s="1"/>
  <c r="AB146" i="4038" s="1"/>
  <c r="AC146" i="4038" s="1"/>
  <c r="AD146" i="4038" s="1"/>
  <c r="AE146" i="4038" s="1"/>
  <c r="AF146" i="4038" s="1"/>
  <c r="AG146" i="4038" s="1"/>
  <c r="AH146" i="4038" s="1"/>
  <c r="AI146" i="4038" s="1"/>
  <c r="AJ146" i="4038" s="1"/>
  <c r="AK146" i="4038" s="1"/>
  <c r="AL146" i="4038" s="1"/>
  <c r="AM146" i="4038" s="1"/>
  <c r="AN146" i="4038" s="1"/>
  <c r="AO146" i="4038" s="1"/>
  <c r="AP146" i="4038" s="1"/>
  <c r="AQ146" i="4038" s="1"/>
  <c r="AR146" i="4038" s="1"/>
  <c r="C153" i="4038"/>
  <c r="C161" i="4038" l="1"/>
  <c r="E106" i="4037" l="1"/>
  <c r="F106" i="4037" s="1"/>
  <c r="G106" i="4037" s="1"/>
  <c r="H106" i="4037" s="1"/>
  <c r="I106" i="4037" s="1"/>
  <c r="J106" i="4037" s="1"/>
  <c r="K106" i="4037" s="1"/>
  <c r="L106" i="4037" s="1"/>
  <c r="M106" i="4037" s="1"/>
  <c r="N106" i="4037" s="1"/>
  <c r="O106" i="4037" s="1"/>
  <c r="P106" i="4037" s="1"/>
  <c r="Q106" i="4037" s="1"/>
  <c r="R106" i="4037" s="1"/>
  <c r="S106" i="4037" s="1"/>
  <c r="T106" i="4037" s="1"/>
  <c r="U106" i="4037" s="1"/>
  <c r="V106" i="4037" s="1"/>
  <c r="W106" i="4037" s="1"/>
  <c r="X106" i="4037" s="1"/>
  <c r="Y106" i="4037" s="1"/>
  <c r="Z106" i="4037" s="1"/>
  <c r="AA106" i="4037" s="1"/>
  <c r="AB106" i="4037" s="1"/>
  <c r="AC106" i="4037" s="1"/>
  <c r="AD106" i="4037" s="1"/>
  <c r="AE106" i="4037" s="1"/>
  <c r="AF106" i="4037" s="1"/>
  <c r="AG106" i="4037" s="1"/>
  <c r="AH106" i="4037" s="1"/>
  <c r="AI106" i="4037" s="1"/>
  <c r="AJ106" i="4037" s="1"/>
  <c r="AK106" i="4037" s="1"/>
  <c r="AL106" i="4037" s="1"/>
  <c r="AM106" i="4037" s="1"/>
  <c r="AN106" i="4037" s="1"/>
  <c r="AO106" i="4037" s="1"/>
  <c r="AP106" i="4037" s="1"/>
  <c r="AQ106" i="4037" s="1"/>
  <c r="AR106" i="4037" s="1"/>
  <c r="D107" i="4037"/>
  <c r="G125" i="4037"/>
  <c r="H125" i="4037"/>
  <c r="I125" i="4037"/>
  <c r="J125" i="4037"/>
  <c r="K125" i="4037"/>
  <c r="L125" i="4037"/>
  <c r="M125" i="4037"/>
  <c r="Q125" i="4037"/>
  <c r="U125" i="4037"/>
  <c r="V125" i="4037"/>
  <c r="W125" i="4037"/>
  <c r="X125" i="4037"/>
  <c r="Y125" i="4037"/>
  <c r="AC125" i="4037"/>
  <c r="AH125" i="4037"/>
  <c r="AI125" i="4037"/>
  <c r="AJ125" i="4037"/>
  <c r="AK125" i="4037"/>
  <c r="AO125" i="4037"/>
  <c r="AP125" i="4037"/>
  <c r="AQ125" i="4037"/>
  <c r="D108" i="4037"/>
  <c r="AC124" i="4037"/>
  <c r="AH124" i="4037"/>
  <c r="AK124" i="4037"/>
  <c r="AP124" i="4037"/>
  <c r="E109" i="4037"/>
  <c r="F109" i="4037"/>
  <c r="G109" i="4037"/>
  <c r="H109" i="4037"/>
  <c r="I109" i="4037"/>
  <c r="J109" i="4037"/>
  <c r="K109" i="4037"/>
  <c r="L109" i="4037"/>
  <c r="M109" i="4037"/>
  <c r="N109" i="4037"/>
  <c r="O109" i="4037"/>
  <c r="P109" i="4037"/>
  <c r="Q109" i="4037"/>
  <c r="R109" i="4037"/>
  <c r="S109" i="4037"/>
  <c r="T109" i="4037"/>
  <c r="U109" i="4037"/>
  <c r="U122" i="4037" s="1"/>
  <c r="V109" i="4037"/>
  <c r="W109" i="4037"/>
  <c r="X109" i="4037"/>
  <c r="X122" i="4037" s="1"/>
  <c r="Y109" i="4037"/>
  <c r="Y124" i="4037" s="1"/>
  <c r="Z109" i="4037"/>
  <c r="Z124" i="4037" s="1"/>
  <c r="AA109" i="4037"/>
  <c r="AA124" i="4037" s="1"/>
  <c r="AB109" i="4037"/>
  <c r="AC109" i="4037"/>
  <c r="AD109" i="4037"/>
  <c r="AD124" i="4037" s="1"/>
  <c r="AE109" i="4037"/>
  <c r="AE124" i="4037" s="1"/>
  <c r="AF109" i="4037"/>
  <c r="AF124" i="4037" s="1"/>
  <c r="AG109" i="4037"/>
  <c r="AG124" i="4037" s="1"/>
  <c r="AH109" i="4037"/>
  <c r="AI109" i="4037"/>
  <c r="AI124" i="4037" s="1"/>
  <c r="AJ109" i="4037"/>
  <c r="AJ124" i="4037" s="1"/>
  <c r="AK109" i="4037"/>
  <c r="AL109" i="4037"/>
  <c r="AL124" i="4037" s="1"/>
  <c r="AM109" i="4037"/>
  <c r="AM124" i="4037" s="1"/>
  <c r="AN109" i="4037"/>
  <c r="AN124" i="4037" s="1"/>
  <c r="AO109" i="4037"/>
  <c r="AO124" i="4037" s="1"/>
  <c r="AP109" i="4037"/>
  <c r="AQ109" i="4037"/>
  <c r="AQ124" i="4037" s="1"/>
  <c r="AR109" i="4037"/>
  <c r="AR124" i="4037" s="1"/>
  <c r="C115" i="4037"/>
  <c r="C116" i="4037"/>
  <c r="E116" i="4037"/>
  <c r="F116" i="4037"/>
  <c r="G116" i="4037"/>
  <c r="H116" i="4037"/>
  <c r="I116" i="4037"/>
  <c r="J116" i="4037"/>
  <c r="K116" i="4037"/>
  <c r="L116" i="4037"/>
  <c r="M116" i="4037"/>
  <c r="N116" i="4037"/>
  <c r="O116" i="4037"/>
  <c r="P116" i="4037"/>
  <c r="Q116" i="4037"/>
  <c r="R116" i="4037"/>
  <c r="S116" i="4037"/>
  <c r="T116" i="4037"/>
  <c r="U116" i="4037"/>
  <c r="V116" i="4037"/>
  <c r="W116" i="4037"/>
  <c r="X116" i="4037"/>
  <c r="Y116" i="4037"/>
  <c r="Z116" i="4037"/>
  <c r="AA116" i="4037"/>
  <c r="AB116" i="4037"/>
  <c r="AC116" i="4037"/>
  <c r="AD116" i="4037"/>
  <c r="AE116" i="4037"/>
  <c r="AF116" i="4037"/>
  <c r="AG116" i="4037"/>
  <c r="AH116" i="4037"/>
  <c r="AI116" i="4037"/>
  <c r="AJ116" i="4037"/>
  <c r="AK116" i="4037"/>
  <c r="AL116" i="4037"/>
  <c r="AM116" i="4037"/>
  <c r="AN116" i="4037"/>
  <c r="AO116" i="4037"/>
  <c r="AP116" i="4037"/>
  <c r="AQ116" i="4037"/>
  <c r="AR116" i="4037"/>
  <c r="E117" i="4037"/>
  <c r="F117" i="4037"/>
  <c r="G117" i="4037"/>
  <c r="H117" i="4037"/>
  <c r="I117" i="4037"/>
  <c r="J117" i="4037"/>
  <c r="K117" i="4037"/>
  <c r="L117" i="4037"/>
  <c r="M117" i="4037"/>
  <c r="N117" i="4037"/>
  <c r="O117" i="4037"/>
  <c r="P117" i="4037"/>
  <c r="Q117" i="4037"/>
  <c r="R117" i="4037"/>
  <c r="S117" i="4037"/>
  <c r="T117" i="4037"/>
  <c r="U117" i="4037"/>
  <c r="V117" i="4037"/>
  <c r="W117" i="4037"/>
  <c r="X117" i="4037"/>
  <c r="Y117" i="4037"/>
  <c r="Z117" i="4037"/>
  <c r="AA117" i="4037"/>
  <c r="AB117" i="4037"/>
  <c r="AC117" i="4037"/>
  <c r="AD117" i="4037"/>
  <c r="AE117" i="4037"/>
  <c r="AF117" i="4037"/>
  <c r="AG117" i="4037"/>
  <c r="AH117" i="4037"/>
  <c r="AI117" i="4037"/>
  <c r="AJ117" i="4037"/>
  <c r="AK117" i="4037"/>
  <c r="AL117" i="4037"/>
  <c r="AM117" i="4037"/>
  <c r="AN117" i="4037"/>
  <c r="AO117" i="4037"/>
  <c r="AP117" i="4037"/>
  <c r="AQ117" i="4037"/>
  <c r="AR117" i="4037"/>
  <c r="C118" i="4037"/>
  <c r="E121" i="4037"/>
  <c r="F121" i="4037"/>
  <c r="G121" i="4037"/>
  <c r="H121" i="4037"/>
  <c r="I121" i="4037"/>
  <c r="J121" i="4037"/>
  <c r="K121" i="4037"/>
  <c r="L121" i="4037"/>
  <c r="M121" i="4037"/>
  <c r="N121" i="4037"/>
  <c r="O121" i="4037"/>
  <c r="P121" i="4037"/>
  <c r="Q121" i="4037"/>
  <c r="R121" i="4037"/>
  <c r="S121" i="4037"/>
  <c r="T121" i="4037"/>
  <c r="U121" i="4037"/>
  <c r="V121" i="4037"/>
  <c r="W121" i="4037"/>
  <c r="X121" i="4037"/>
  <c r="Y121" i="4037"/>
  <c r="Z121" i="4037"/>
  <c r="AA121" i="4037"/>
  <c r="AB121" i="4037"/>
  <c r="AC121" i="4037"/>
  <c r="AC131" i="4037" s="1"/>
  <c r="AD121" i="4037"/>
  <c r="AE121" i="4037"/>
  <c r="AF121" i="4037"/>
  <c r="AG121" i="4037"/>
  <c r="AH121" i="4037"/>
  <c r="AI121" i="4037"/>
  <c r="AJ121" i="4037"/>
  <c r="AJ131" i="4037" s="1"/>
  <c r="AK121" i="4037"/>
  <c r="AL121" i="4037"/>
  <c r="AM121" i="4037"/>
  <c r="AN121" i="4037"/>
  <c r="AO121" i="4037"/>
  <c r="AO131" i="4037" s="1"/>
  <c r="AP121" i="4037"/>
  <c r="AQ121" i="4037"/>
  <c r="AR121" i="4037"/>
  <c r="E122" i="4037"/>
  <c r="F122" i="4037"/>
  <c r="G122" i="4037"/>
  <c r="H122" i="4037"/>
  <c r="I122" i="4037"/>
  <c r="J122" i="4037"/>
  <c r="K122" i="4037"/>
  <c r="L122" i="4037"/>
  <c r="M122" i="4037"/>
  <c r="N122" i="4037"/>
  <c r="O122" i="4037"/>
  <c r="P122" i="4037"/>
  <c r="Q122" i="4037"/>
  <c r="R122" i="4037"/>
  <c r="S122" i="4037"/>
  <c r="T122" i="4037"/>
  <c r="V122" i="4037"/>
  <c r="Y122" i="4037"/>
  <c r="Z122" i="4037"/>
  <c r="AA122" i="4037"/>
  <c r="AB122" i="4037"/>
  <c r="AC122" i="4037"/>
  <c r="AD122" i="4037"/>
  <c r="AE122" i="4037"/>
  <c r="AF122" i="4037"/>
  <c r="AG122" i="4037"/>
  <c r="AH122" i="4037"/>
  <c r="AI122" i="4037"/>
  <c r="AJ122" i="4037"/>
  <c r="AK122" i="4037"/>
  <c r="AL122" i="4037"/>
  <c r="AM122" i="4037"/>
  <c r="AN122" i="4037"/>
  <c r="AO122" i="4037"/>
  <c r="AP122" i="4037"/>
  <c r="AQ122" i="4037"/>
  <c r="AR122" i="4037"/>
  <c r="E123" i="4037"/>
  <c r="F123" i="4037"/>
  <c r="G123" i="4037"/>
  <c r="H123" i="4037"/>
  <c r="I123" i="4037"/>
  <c r="J123" i="4037"/>
  <c r="K123" i="4037"/>
  <c r="L123" i="4037"/>
  <c r="M123" i="4037"/>
  <c r="N123" i="4037"/>
  <c r="O123" i="4037"/>
  <c r="P123" i="4037"/>
  <c r="Q123" i="4037"/>
  <c r="R123" i="4037"/>
  <c r="S123" i="4037"/>
  <c r="T123" i="4037"/>
  <c r="U123" i="4037"/>
  <c r="V123" i="4037"/>
  <c r="W123" i="4037"/>
  <c r="X123" i="4037"/>
  <c r="Y123" i="4037"/>
  <c r="Z123" i="4037"/>
  <c r="AA123" i="4037"/>
  <c r="AB123" i="4037"/>
  <c r="AC123" i="4037"/>
  <c r="AD123" i="4037"/>
  <c r="AE123" i="4037"/>
  <c r="AF123" i="4037"/>
  <c r="AG123" i="4037"/>
  <c r="AH123" i="4037"/>
  <c r="AI123" i="4037"/>
  <c r="AJ123" i="4037"/>
  <c r="AK123" i="4037"/>
  <c r="AL123" i="4037"/>
  <c r="AM123" i="4037"/>
  <c r="AN123" i="4037"/>
  <c r="AO123" i="4037"/>
  <c r="AP123" i="4037"/>
  <c r="AQ123" i="4037"/>
  <c r="AR123" i="4037"/>
  <c r="C124" i="4037"/>
  <c r="E124" i="4037"/>
  <c r="AB124" i="4037"/>
  <c r="C125" i="4037"/>
  <c r="E125" i="4037"/>
  <c r="F125" i="4037"/>
  <c r="N125" i="4037"/>
  <c r="O125" i="4037"/>
  <c r="P125" i="4037"/>
  <c r="R125" i="4037"/>
  <c r="S125" i="4037"/>
  <c r="T125" i="4037"/>
  <c r="Z125" i="4037"/>
  <c r="AA125" i="4037"/>
  <c r="AB125" i="4037"/>
  <c r="AD125" i="4037"/>
  <c r="AE125" i="4037"/>
  <c r="AF125" i="4037"/>
  <c r="AG125" i="4037"/>
  <c r="AL125" i="4037"/>
  <c r="AM125" i="4037"/>
  <c r="AN125" i="4037"/>
  <c r="AR125" i="4037"/>
  <c r="T134" i="4037"/>
  <c r="U134" i="4037"/>
  <c r="V134" i="4037"/>
  <c r="W134" i="4037"/>
  <c r="X134" i="4037"/>
  <c r="Y134" i="4037"/>
  <c r="Z134" i="4037"/>
  <c r="AA134" i="4037"/>
  <c r="AB134" i="4037"/>
  <c r="AC134" i="4037"/>
  <c r="AD134" i="4037"/>
  <c r="AE134" i="4037"/>
  <c r="AF134" i="4037"/>
  <c r="AG134" i="4037"/>
  <c r="AH134" i="4037"/>
  <c r="AI134" i="4037"/>
  <c r="AJ134" i="4037"/>
  <c r="AK134" i="4037"/>
  <c r="AL134" i="4037"/>
  <c r="AM134" i="4037"/>
  <c r="AN134" i="4037"/>
  <c r="AO134" i="4037"/>
  <c r="AP134" i="4037"/>
  <c r="AQ134" i="4037"/>
  <c r="AR134" i="4037"/>
  <c r="T135" i="4037"/>
  <c r="U135" i="4037"/>
  <c r="V135" i="4037"/>
  <c r="W135" i="4037"/>
  <c r="X135" i="4037"/>
  <c r="Y135" i="4037"/>
  <c r="Z135" i="4037"/>
  <c r="AA135" i="4037"/>
  <c r="AB135" i="4037"/>
  <c r="AC135" i="4037"/>
  <c r="AD135" i="4037"/>
  <c r="AE135" i="4037"/>
  <c r="AF135" i="4037"/>
  <c r="AG135" i="4037"/>
  <c r="AH135" i="4037"/>
  <c r="AI135" i="4037"/>
  <c r="AJ135" i="4037"/>
  <c r="AK135" i="4037"/>
  <c r="AL135" i="4037"/>
  <c r="AM135" i="4037"/>
  <c r="AN135" i="4037"/>
  <c r="AO135" i="4037"/>
  <c r="AP135" i="4037"/>
  <c r="AQ135" i="4037"/>
  <c r="AR135" i="4037"/>
  <c r="T136" i="4037"/>
  <c r="U136" i="4037"/>
  <c r="V136" i="4037"/>
  <c r="W136" i="4037"/>
  <c r="X136" i="4037"/>
  <c r="Y136" i="4037"/>
  <c r="Z136" i="4037"/>
  <c r="AA136" i="4037"/>
  <c r="AB136" i="4037"/>
  <c r="AC136" i="4037"/>
  <c r="AD136" i="4037"/>
  <c r="AE136" i="4037"/>
  <c r="AF136" i="4037"/>
  <c r="AG136" i="4037"/>
  <c r="AH136" i="4037"/>
  <c r="AI136" i="4037"/>
  <c r="AJ136" i="4037"/>
  <c r="AK136" i="4037"/>
  <c r="AL136" i="4037"/>
  <c r="AM136" i="4037"/>
  <c r="AN136" i="4037"/>
  <c r="AO136" i="4037"/>
  <c r="AP136" i="4037"/>
  <c r="AQ136" i="4037"/>
  <c r="AR136" i="4037"/>
  <c r="C145" i="4037"/>
  <c r="T145" i="4037"/>
  <c r="U145" i="4037"/>
  <c r="V145" i="4037"/>
  <c r="W145" i="4037"/>
  <c r="X145" i="4037"/>
  <c r="Y145" i="4037"/>
  <c r="Z145" i="4037"/>
  <c r="AA145" i="4037"/>
  <c r="AB145" i="4037"/>
  <c r="AC145" i="4037"/>
  <c r="AD145" i="4037"/>
  <c r="AE145" i="4037"/>
  <c r="AF145" i="4037"/>
  <c r="AG145" i="4037"/>
  <c r="AH145" i="4037"/>
  <c r="AI145" i="4037"/>
  <c r="AJ145" i="4037"/>
  <c r="AK145" i="4037"/>
  <c r="AL145" i="4037"/>
  <c r="AM145" i="4037"/>
  <c r="AN145" i="4037"/>
  <c r="AO145" i="4037"/>
  <c r="AP145" i="4037"/>
  <c r="AQ145" i="4037"/>
  <c r="AR145" i="4037"/>
  <c r="T147" i="4037"/>
  <c r="U147" i="4037"/>
  <c r="V147" i="4037"/>
  <c r="W147" i="4037"/>
  <c r="X147" i="4037"/>
  <c r="Y147" i="4037"/>
  <c r="Z147" i="4037"/>
  <c r="AA147" i="4037"/>
  <c r="AB147" i="4037"/>
  <c r="AC147" i="4037"/>
  <c r="AD147" i="4037"/>
  <c r="AE147" i="4037"/>
  <c r="AF147" i="4037"/>
  <c r="AG147" i="4037"/>
  <c r="AH147" i="4037"/>
  <c r="AI147" i="4037"/>
  <c r="AJ147" i="4037"/>
  <c r="AK147" i="4037"/>
  <c r="AL147" i="4037"/>
  <c r="AM147" i="4037"/>
  <c r="AN147" i="4037"/>
  <c r="AO147" i="4037"/>
  <c r="AP147" i="4037"/>
  <c r="AQ147" i="4037"/>
  <c r="AR147" i="4037"/>
  <c r="D151" i="4037"/>
  <c r="E102" i="4037"/>
  <c r="C92" i="4037"/>
  <c r="C41" i="4037" s="1"/>
  <c r="C152" i="4037" s="1"/>
  <c r="M134" i="4037" s="1"/>
  <c r="D84" i="4037"/>
  <c r="D85" i="4037"/>
  <c r="D63" i="4037"/>
  <c r="D64" i="4037"/>
  <c r="D65" i="4037"/>
  <c r="D70" i="4037"/>
  <c r="C53" i="4037"/>
  <c r="D55" i="4037"/>
  <c r="C56" i="4037"/>
  <c r="D57" i="4037"/>
  <c r="C58" i="4037"/>
  <c r="D59" i="4037"/>
  <c r="C60" i="4037"/>
  <c r="D39" i="4037"/>
  <c r="D40" i="4037"/>
  <c r="D42" i="4037"/>
  <c r="D43" i="4037"/>
  <c r="C44" i="4037"/>
  <c r="D45" i="4037"/>
  <c r="E45" i="4037"/>
  <c r="D46" i="4037"/>
  <c r="E46" i="4037"/>
  <c r="D47" i="4037"/>
  <c r="E47" i="4037"/>
  <c r="D48" i="4037"/>
  <c r="C49" i="4037"/>
  <c r="D49" i="4037"/>
  <c r="C33" i="4037"/>
  <c r="C35" i="4037"/>
  <c r="D21" i="4037"/>
  <c r="C25" i="4037"/>
  <c r="D26" i="4037"/>
  <c r="C27" i="4037"/>
  <c r="D28" i="4037"/>
  <c r="E12" i="4037"/>
  <c r="D13" i="4037"/>
  <c r="E13" i="4037"/>
  <c r="D5" i="4037"/>
  <c r="AP137" i="4037" l="1"/>
  <c r="Y137" i="4037"/>
  <c r="C154" i="4037"/>
  <c r="Z137" i="4037"/>
  <c r="AJ137" i="4037"/>
  <c r="X108" i="4037"/>
  <c r="U108" i="4037"/>
  <c r="R108" i="4037"/>
  <c r="O108" i="4037"/>
  <c r="L108" i="4037"/>
  <c r="I108" i="4037"/>
  <c r="F108" i="4037"/>
  <c r="W122" i="4037"/>
  <c r="W108" i="4037"/>
  <c r="T108" i="4037"/>
  <c r="Q108" i="4037"/>
  <c r="N108" i="4037"/>
  <c r="K108" i="4037"/>
  <c r="H108" i="4037"/>
  <c r="V108" i="4037"/>
  <c r="S108" i="4037"/>
  <c r="P108" i="4037"/>
  <c r="M108" i="4037"/>
  <c r="J108" i="4037"/>
  <c r="G108" i="4037"/>
  <c r="X137" i="4037"/>
  <c r="AH137" i="4037"/>
  <c r="V137" i="4037"/>
  <c r="AI137" i="4037"/>
  <c r="W137" i="4037"/>
  <c r="AL137" i="4037"/>
  <c r="AA137" i="4037"/>
  <c r="AD137" i="4037"/>
  <c r="AM137" i="4037"/>
  <c r="AK137" i="4037"/>
  <c r="AN137" i="4037"/>
  <c r="AR131" i="4037"/>
  <c r="AF131" i="4037"/>
  <c r="AG137" i="4037"/>
  <c r="U137" i="4037"/>
  <c r="AQ131" i="4037"/>
  <c r="AE131" i="4037"/>
  <c r="C34" i="4037"/>
  <c r="K115" i="4037" s="1"/>
  <c r="K118" i="4037" s="1"/>
  <c r="K120" i="4037" s="1"/>
  <c r="AQ137" i="4037"/>
  <c r="AE137" i="4037"/>
  <c r="AP131" i="4037"/>
  <c r="AD131" i="4037"/>
  <c r="AB137" i="4037"/>
  <c r="AK131" i="4037"/>
  <c r="Y131" i="4037"/>
  <c r="AB131" i="4037"/>
  <c r="AN131" i="4037"/>
  <c r="AI131" i="4037"/>
  <c r="AM131" i="4037"/>
  <c r="AA131" i="4037"/>
  <c r="AL131" i="4037"/>
  <c r="Z131" i="4037"/>
  <c r="AG131" i="4037"/>
  <c r="AH131" i="4037"/>
  <c r="AR137" i="4037"/>
  <c r="AF137" i="4037"/>
  <c r="AO137" i="4037"/>
  <c r="AC137" i="4037"/>
  <c r="T137" i="4037"/>
  <c r="O134" i="4037"/>
  <c r="P134" i="4037"/>
  <c r="E134" i="4037"/>
  <c r="Q134" i="4037"/>
  <c r="C157" i="4037"/>
  <c r="F134" i="4037"/>
  <c r="R134" i="4037"/>
  <c r="C158" i="4037"/>
  <c r="D113" i="4037"/>
  <c r="D146" i="4037" s="1"/>
  <c r="G134" i="4037"/>
  <c r="S134" i="4037"/>
  <c r="H134" i="4037"/>
  <c r="I134" i="4037"/>
  <c r="L134" i="4037"/>
  <c r="J134" i="4037"/>
  <c r="K134" i="4037"/>
  <c r="N134" i="4037"/>
  <c r="AH115" i="4037"/>
  <c r="AE115" i="4037"/>
  <c r="AE118" i="4037" s="1"/>
  <c r="AE128" i="4037" s="1"/>
  <c r="AN115" i="4037"/>
  <c r="AM115" i="4037"/>
  <c r="Z115" i="4037"/>
  <c r="N115" i="4037"/>
  <c r="AI115" i="4037"/>
  <c r="C60" i="4036"/>
  <c r="C58" i="4036"/>
  <c r="C56" i="4036"/>
  <c r="C53" i="4036"/>
  <c r="C49" i="4036"/>
  <c r="C44" i="4036"/>
  <c r="C35" i="4036"/>
  <c r="C33" i="4036"/>
  <c r="C34" i="4036" s="1"/>
  <c r="C27" i="4036"/>
  <c r="C25" i="4036"/>
  <c r="C92" i="4036"/>
  <c r="C41" i="4036" s="1"/>
  <c r="C92" i="4035"/>
  <c r="C41" i="4035" s="1"/>
  <c r="C92" i="4034"/>
  <c r="C41" i="4034" s="1"/>
  <c r="C92" i="4033"/>
  <c r="C41" i="4033" s="1"/>
  <c r="C92" i="4032"/>
  <c r="C41" i="4032" s="1"/>
  <c r="C92" i="4031"/>
  <c r="C41" i="4031" s="1"/>
  <c r="C92" i="4030"/>
  <c r="C41" i="4030" s="1"/>
  <c r="C92" i="4029"/>
  <c r="C41" i="4029" s="1"/>
  <c r="C92" i="4028"/>
  <c r="C41" i="4028" s="1"/>
  <c r="C92" i="4027"/>
  <c r="C41" i="4027" s="1"/>
  <c r="C92" i="4026"/>
  <c r="C41" i="4026" s="1"/>
  <c r="C92" i="4025"/>
  <c r="C41" i="4025" s="1"/>
  <c r="C92" i="4024"/>
  <c r="C41" i="4024" s="1"/>
  <c r="C92" i="4023"/>
  <c r="C41" i="4023" s="1"/>
  <c r="C60" i="4023"/>
  <c r="C58" i="4023"/>
  <c r="C56" i="4023"/>
  <c r="C53" i="4023"/>
  <c r="C49" i="4023"/>
  <c r="C44" i="4023"/>
  <c r="C35" i="4023"/>
  <c r="C33" i="4023"/>
  <c r="C34" i="4023" s="1"/>
  <c r="C27" i="4023"/>
  <c r="C25" i="4023"/>
  <c r="C92" i="4022"/>
  <c r="C41" i="4022" s="1"/>
  <c r="C60" i="4022"/>
  <c r="C58" i="4022"/>
  <c r="C56" i="4022"/>
  <c r="C53" i="4022"/>
  <c r="C49" i="4022"/>
  <c r="C44" i="4022"/>
  <c r="C35" i="4022"/>
  <c r="C33" i="4022"/>
  <c r="C34" i="4022" s="1"/>
  <c r="C27" i="4022"/>
  <c r="C25" i="4022"/>
  <c r="C25" i="4021"/>
  <c r="C92" i="4021"/>
  <c r="C41" i="4021" s="1"/>
  <c r="C60" i="4021"/>
  <c r="C58" i="4021"/>
  <c r="C56" i="4021"/>
  <c r="C53" i="4021"/>
  <c r="C49" i="4021"/>
  <c r="C44" i="4021"/>
  <c r="C35" i="4021"/>
  <c r="C33" i="4021"/>
  <c r="C34" i="4021" s="1"/>
  <c r="C27" i="4021"/>
  <c r="C92" i="4020"/>
  <c r="C41" i="4020" s="1"/>
  <c r="C60" i="4020"/>
  <c r="C58" i="4020"/>
  <c r="C56" i="4020"/>
  <c r="C53" i="4020"/>
  <c r="C49" i="4020"/>
  <c r="C44" i="4020"/>
  <c r="C35" i="4020"/>
  <c r="C33" i="4020"/>
  <c r="C34" i="4020" s="1"/>
  <c r="C27" i="4020"/>
  <c r="C25" i="4020"/>
  <c r="C92" i="4019"/>
  <c r="C60" i="4019"/>
  <c r="C58" i="4019"/>
  <c r="C56" i="4019"/>
  <c r="C53" i="4019"/>
  <c r="C49" i="4019"/>
  <c r="C44" i="4019"/>
  <c r="C35" i="4019"/>
  <c r="C33" i="4019"/>
  <c r="C34" i="4019" s="1"/>
  <c r="C27" i="4019"/>
  <c r="C25" i="4019"/>
  <c r="C35" i="4018"/>
  <c r="C33" i="4018"/>
  <c r="C34" i="4018" s="1"/>
  <c r="C27" i="4018"/>
  <c r="C25" i="4018"/>
  <c r="C92" i="4018"/>
  <c r="C60" i="4018"/>
  <c r="C58" i="4018"/>
  <c r="C56" i="4018"/>
  <c r="C53" i="4018"/>
  <c r="C49" i="4018"/>
  <c r="C44" i="4018"/>
  <c r="S12" i="65"/>
  <c r="J124" i="4037" l="1"/>
  <c r="J127" i="4037"/>
  <c r="F124" i="4037"/>
  <c r="F127" i="4037"/>
  <c r="I124" i="4037"/>
  <c r="I127" i="4037"/>
  <c r="P124" i="4037"/>
  <c r="P127" i="4037"/>
  <c r="L124" i="4037"/>
  <c r="L127" i="4037"/>
  <c r="M124" i="4037"/>
  <c r="M127" i="4037"/>
  <c r="S124" i="4037"/>
  <c r="S128" i="4037" s="1"/>
  <c r="S127" i="4037"/>
  <c r="O124" i="4037"/>
  <c r="O127" i="4037"/>
  <c r="V124" i="4037"/>
  <c r="V127" i="4037"/>
  <c r="R124" i="4037"/>
  <c r="R127" i="4037"/>
  <c r="H124" i="4037"/>
  <c r="H127" i="4037"/>
  <c r="U124" i="4037"/>
  <c r="U127" i="4037"/>
  <c r="K124" i="4037"/>
  <c r="K127" i="4037"/>
  <c r="X124" i="4037"/>
  <c r="X127" i="4037"/>
  <c r="N124" i="4037"/>
  <c r="N127" i="4037"/>
  <c r="Q124" i="4037"/>
  <c r="Q127" i="4037"/>
  <c r="T124" i="4037"/>
  <c r="T127" i="4037"/>
  <c r="W124" i="4037"/>
  <c r="W127" i="4037"/>
  <c r="G124" i="4037"/>
  <c r="G127" i="4037"/>
  <c r="M115" i="4037"/>
  <c r="O115" i="4037"/>
  <c r="AC115" i="4037"/>
  <c r="AR115" i="4037"/>
  <c r="F115" i="4037"/>
  <c r="F118" i="4037" s="1"/>
  <c r="F126" i="4037" s="1"/>
  <c r="AQ115" i="4037"/>
  <c r="AQ118" i="4037" s="1"/>
  <c r="AQ128" i="4037" s="1"/>
  <c r="W115" i="4037"/>
  <c r="Y115" i="4037"/>
  <c r="AF115" i="4037"/>
  <c r="P115" i="4037"/>
  <c r="Q115" i="4037"/>
  <c r="Q118" i="4037" s="1"/>
  <c r="Q120" i="4037" s="1"/>
  <c r="G115" i="4037"/>
  <c r="G118" i="4037" s="1"/>
  <c r="G128" i="4037" s="1"/>
  <c r="V115" i="4037"/>
  <c r="K126" i="4037"/>
  <c r="L115" i="4037"/>
  <c r="L118" i="4037" s="1"/>
  <c r="L120" i="4037" s="1"/>
  <c r="AK115" i="4037"/>
  <c r="AK118" i="4037" s="1"/>
  <c r="AL115" i="4037"/>
  <c r="AA115" i="4037"/>
  <c r="AB115" i="4037"/>
  <c r="E115" i="4037"/>
  <c r="C159" i="4037" s="1"/>
  <c r="AO115" i="4037"/>
  <c r="AO118" i="4037" s="1"/>
  <c r="S115" i="4037"/>
  <c r="S118" i="4037" s="1"/>
  <c r="S120" i="4037" s="1"/>
  <c r="S131" i="4037" s="1"/>
  <c r="J115" i="4037"/>
  <c r="I115" i="4037"/>
  <c r="R115" i="4037"/>
  <c r="R118" i="4037" s="1"/>
  <c r="X115" i="4037"/>
  <c r="X118" i="4037" s="1"/>
  <c r="X120" i="4037" s="1"/>
  <c r="H115" i="4037"/>
  <c r="AD115" i="4037"/>
  <c r="AD118" i="4037" s="1"/>
  <c r="AD126" i="4037" s="1"/>
  <c r="U115" i="4037"/>
  <c r="AJ115" i="4037"/>
  <c r="AJ118" i="4037" s="1"/>
  <c r="T115" i="4037"/>
  <c r="T118" i="4037" s="1"/>
  <c r="T120" i="4037" s="1"/>
  <c r="AP115" i="4037"/>
  <c r="AP118" i="4037" s="1"/>
  <c r="AP126" i="4037" s="1"/>
  <c r="AG115" i="4037"/>
  <c r="F128" i="4037"/>
  <c r="Y118" i="4037"/>
  <c r="N118" i="4037"/>
  <c r="N120" i="4037" s="1"/>
  <c r="AR118" i="4037"/>
  <c r="D144" i="4037"/>
  <c r="AF118" i="4037"/>
  <c r="AH118" i="4037"/>
  <c r="K135" i="4037"/>
  <c r="G136" i="4037"/>
  <c r="S136" i="4037"/>
  <c r="L135" i="4037"/>
  <c r="H136" i="4037"/>
  <c r="M135" i="4037"/>
  <c r="I136" i="4037"/>
  <c r="N135" i="4037"/>
  <c r="J136" i="4037"/>
  <c r="H135" i="4037"/>
  <c r="O135" i="4037"/>
  <c r="K136" i="4037"/>
  <c r="P135" i="4037"/>
  <c r="L136" i="4037"/>
  <c r="E135" i="4037"/>
  <c r="Q135" i="4037"/>
  <c r="M136" i="4037"/>
  <c r="D143" i="4037"/>
  <c r="F135" i="4037"/>
  <c r="R135" i="4037"/>
  <c r="N136" i="4037"/>
  <c r="G135" i="4037"/>
  <c r="S135" i="4037"/>
  <c r="O136" i="4037"/>
  <c r="P136" i="4037"/>
  <c r="J135" i="4037"/>
  <c r="F136" i="4037"/>
  <c r="R136" i="4037"/>
  <c r="Q136" i="4037"/>
  <c r="I135" i="4037"/>
  <c r="E136" i="4037"/>
  <c r="O118" i="4037"/>
  <c r="O120" i="4037" s="1"/>
  <c r="AI118" i="4037"/>
  <c r="AE126" i="4037"/>
  <c r="Z118" i="4037"/>
  <c r="V118" i="4037"/>
  <c r="V120" i="4037" s="1"/>
  <c r="K128" i="4037"/>
  <c r="W118" i="4037"/>
  <c r="W120" i="4037" s="1"/>
  <c r="AM118" i="4037"/>
  <c r="R145" i="4037"/>
  <c r="AB118" i="4037"/>
  <c r="K131" i="4037"/>
  <c r="K145" i="4037"/>
  <c r="H118" i="4037"/>
  <c r="H120" i="4037" s="1"/>
  <c r="M118" i="4037"/>
  <c r="M120" i="4037" s="1"/>
  <c r="P118" i="4037"/>
  <c r="P120" i="4037" s="1"/>
  <c r="G145" i="4037"/>
  <c r="G126" i="4037"/>
  <c r="AN118" i="4037"/>
  <c r="C170" i="4036"/>
  <c r="C174" i="4023"/>
  <c r="C173" i="4023"/>
  <c r="C167" i="4023"/>
  <c r="C166" i="4023"/>
  <c r="O30" i="65"/>
  <c r="P30" i="65"/>
  <c r="AA16" i="65"/>
  <c r="AQ126" i="4037" l="1"/>
  <c r="J118" i="4037"/>
  <c r="J120" i="4037" s="1"/>
  <c r="J131" i="4037" s="1"/>
  <c r="AP128" i="4037"/>
  <c r="AC118" i="4037"/>
  <c r="AC126" i="4037" s="1"/>
  <c r="G120" i="4037"/>
  <c r="G131" i="4037" s="1"/>
  <c r="S126" i="4037"/>
  <c r="S130" i="4037" s="1"/>
  <c r="S132" i="4037" s="1"/>
  <c r="S139" i="4037" s="1"/>
  <c r="E118" i="4037"/>
  <c r="E120" i="4037" s="1"/>
  <c r="K130" i="4037"/>
  <c r="K132" i="4037" s="1"/>
  <c r="K139" i="4037" s="1"/>
  <c r="F145" i="4037"/>
  <c r="S145" i="4037"/>
  <c r="F120" i="4037"/>
  <c r="F131" i="4037" s="1"/>
  <c r="AL118" i="4037"/>
  <c r="AL128" i="4037" s="1"/>
  <c r="AA118" i="4037"/>
  <c r="AA126" i="4037" s="1"/>
  <c r="N137" i="4037"/>
  <c r="AD128" i="4037"/>
  <c r="R126" i="4037"/>
  <c r="R120" i="4037"/>
  <c r="R131" i="4037" s="1"/>
  <c r="AD130" i="4037"/>
  <c r="AD132" i="4037" s="1"/>
  <c r="AD139" i="4037" s="1"/>
  <c r="AD140" i="4037" s="1"/>
  <c r="AD142" i="4037" s="1"/>
  <c r="AD144" i="4037" s="1"/>
  <c r="F130" i="4037"/>
  <c r="F132" i="4037" s="1"/>
  <c r="AG118" i="4037"/>
  <c r="U118" i="4037"/>
  <c r="U120" i="4037" s="1"/>
  <c r="K137" i="4037"/>
  <c r="AP130" i="4037"/>
  <c r="AP132" i="4037" s="1"/>
  <c r="AP139" i="4037" s="1"/>
  <c r="AP140" i="4037" s="1"/>
  <c r="AP142" i="4037" s="1"/>
  <c r="AP144" i="4037" s="1"/>
  <c r="I118" i="4037"/>
  <c r="I120" i="4037" s="1"/>
  <c r="R128" i="4037"/>
  <c r="G130" i="4037"/>
  <c r="G132" i="4037" s="1"/>
  <c r="G139" i="4037" s="1"/>
  <c r="AQ130" i="4037"/>
  <c r="AQ132" i="4037" s="1"/>
  <c r="AQ139" i="4037" s="1"/>
  <c r="AQ140" i="4037" s="1"/>
  <c r="AQ142" i="4037" s="1"/>
  <c r="AQ144" i="4037" s="1"/>
  <c r="Q137" i="4037"/>
  <c r="L137" i="4037"/>
  <c r="G137" i="4037"/>
  <c r="H137" i="4037"/>
  <c r="R137" i="4037"/>
  <c r="F137" i="4037"/>
  <c r="M137" i="4037"/>
  <c r="AE130" i="4037"/>
  <c r="AE132" i="4037" s="1"/>
  <c r="W131" i="4037"/>
  <c r="W126" i="4037"/>
  <c r="W128" i="4037"/>
  <c r="C160" i="4037"/>
  <c r="AF128" i="4037"/>
  <c r="AF126" i="4037"/>
  <c r="I137" i="4037"/>
  <c r="AK126" i="4037"/>
  <c r="AK128" i="4037"/>
  <c r="AB128" i="4037"/>
  <c r="AB126" i="4037"/>
  <c r="Y126" i="4037"/>
  <c r="Y128" i="4037"/>
  <c r="P128" i="4037"/>
  <c r="P145" i="4037"/>
  <c r="P131" i="4037"/>
  <c r="P126" i="4037"/>
  <c r="H128" i="4037"/>
  <c r="H131" i="4037"/>
  <c r="H126" i="4037"/>
  <c r="H145" i="4037"/>
  <c r="V131" i="4037"/>
  <c r="V128" i="4037"/>
  <c r="V126" i="4037"/>
  <c r="AI128" i="4037"/>
  <c r="AI126" i="4037"/>
  <c r="E137" i="4037"/>
  <c r="M145" i="4037"/>
  <c r="M131" i="4037"/>
  <c r="M126" i="4037"/>
  <c r="M128" i="4037"/>
  <c r="Q131" i="4037"/>
  <c r="Q145" i="4037"/>
  <c r="Q128" i="4037"/>
  <c r="Q126" i="4037"/>
  <c r="J137" i="4037"/>
  <c r="AJ126" i="4037"/>
  <c r="AJ128" i="4037"/>
  <c r="AR128" i="4037"/>
  <c r="AR126" i="4037"/>
  <c r="X131" i="4037"/>
  <c r="X128" i="4037"/>
  <c r="X126" i="4037"/>
  <c r="P137" i="4037"/>
  <c r="AN128" i="4037"/>
  <c r="AN126" i="4037"/>
  <c r="AL126" i="4037"/>
  <c r="AM128" i="4037"/>
  <c r="AM126" i="4037"/>
  <c r="J145" i="4037"/>
  <c r="AO128" i="4037"/>
  <c r="AO126" i="4037"/>
  <c r="S137" i="4037"/>
  <c r="O137" i="4037"/>
  <c r="Z128" i="4037"/>
  <c r="Z126" i="4037"/>
  <c r="AH128" i="4037"/>
  <c r="AH126" i="4037"/>
  <c r="N145" i="4037"/>
  <c r="N131" i="4037"/>
  <c r="N128" i="4037"/>
  <c r="N126" i="4037"/>
  <c r="T128" i="4037"/>
  <c r="T131" i="4037"/>
  <c r="T126" i="4037"/>
  <c r="E131" i="4037"/>
  <c r="E126" i="4037"/>
  <c r="L145" i="4037"/>
  <c r="L131" i="4037"/>
  <c r="L128" i="4037"/>
  <c r="L126" i="4037"/>
  <c r="O145" i="4037"/>
  <c r="O131" i="4037"/>
  <c r="O126" i="4037"/>
  <c r="O128" i="4037"/>
  <c r="AC128" i="4037"/>
  <c r="B177" i="4036"/>
  <c r="B176" i="4036"/>
  <c r="R12" i="65"/>
  <c r="E128" i="4037" l="1"/>
  <c r="J128" i="4037"/>
  <c r="AA128" i="4037"/>
  <c r="AA130" i="4037" s="1"/>
  <c r="AA132" i="4037" s="1"/>
  <c r="E145" i="4037"/>
  <c r="J126" i="4037"/>
  <c r="J130" i="4037" s="1"/>
  <c r="J132" i="4037" s="1"/>
  <c r="C84" i="4037"/>
  <c r="AI130" i="4037"/>
  <c r="AI132" i="4037" s="1"/>
  <c r="AI139" i="4037" s="1"/>
  <c r="AI140" i="4037" s="1"/>
  <c r="AI143" i="4037" s="1"/>
  <c r="C85" i="4037"/>
  <c r="E130" i="4037"/>
  <c r="E132" i="4037" s="1"/>
  <c r="E139" i="4037" s="1"/>
  <c r="Z130" i="4037"/>
  <c r="Z132" i="4037" s="1"/>
  <c r="Z139" i="4037" s="1"/>
  <c r="Z140" i="4037" s="1"/>
  <c r="Z143" i="4037" s="1"/>
  <c r="AL130" i="4037"/>
  <c r="AL132" i="4037" s="1"/>
  <c r="AL139" i="4037" s="1"/>
  <c r="AL140" i="4037" s="1"/>
  <c r="AL143" i="4037" s="1"/>
  <c r="R130" i="4037"/>
  <c r="R132" i="4037" s="1"/>
  <c r="R139" i="4037" s="1"/>
  <c r="R140" i="4037" s="1"/>
  <c r="T130" i="4037"/>
  <c r="T132" i="4037" s="1"/>
  <c r="T139" i="4037" s="1"/>
  <c r="T140" i="4037" s="1"/>
  <c r="AO130" i="4037"/>
  <c r="AO132" i="4037" s="1"/>
  <c r="AO139" i="4037" s="1"/>
  <c r="AO140" i="4037" s="1"/>
  <c r="AO142" i="4037" s="1"/>
  <c r="AO144" i="4037" s="1"/>
  <c r="I126" i="4037"/>
  <c r="I145" i="4037"/>
  <c r="C151" i="4037" s="1"/>
  <c r="I131" i="4037"/>
  <c r="I128" i="4037"/>
  <c r="U128" i="4037"/>
  <c r="U131" i="4037"/>
  <c r="U126" i="4037"/>
  <c r="AG128" i="4037"/>
  <c r="AG126" i="4037"/>
  <c r="V130" i="4037"/>
  <c r="V132" i="4037" s="1"/>
  <c r="V139" i="4037" s="1"/>
  <c r="V140" i="4037" s="1"/>
  <c r="V143" i="4037" s="1"/>
  <c r="L130" i="4037"/>
  <c r="L132" i="4037" s="1"/>
  <c r="L139" i="4037" s="1"/>
  <c r="Q130" i="4037"/>
  <c r="Q132" i="4037" s="1"/>
  <c r="Q139" i="4037" s="1"/>
  <c r="AB130" i="4037"/>
  <c r="AB132" i="4037" s="1"/>
  <c r="AB139" i="4037" s="1"/>
  <c r="AB140" i="4037" s="1"/>
  <c r="AB142" i="4037" s="1"/>
  <c r="AB144" i="4037" s="1"/>
  <c r="X130" i="4037"/>
  <c r="X132" i="4037" s="1"/>
  <c r="X139" i="4037" s="1"/>
  <c r="X140" i="4037" s="1"/>
  <c r="X143" i="4037" s="1"/>
  <c r="N130" i="4037"/>
  <c r="N132" i="4037" s="1"/>
  <c r="N139" i="4037" s="1"/>
  <c r="Y130" i="4037"/>
  <c r="Y132" i="4037" s="1"/>
  <c r="Y139" i="4037" s="1"/>
  <c r="Y140" i="4037" s="1"/>
  <c r="Y143" i="4037" s="1"/>
  <c r="H130" i="4037"/>
  <c r="H132" i="4037" s="1"/>
  <c r="H139" i="4037" s="1"/>
  <c r="AC130" i="4037"/>
  <c r="AC132" i="4037" s="1"/>
  <c r="AC139" i="4037" s="1"/>
  <c r="AC140" i="4037" s="1"/>
  <c r="AC142" i="4037" s="1"/>
  <c r="AC144" i="4037" s="1"/>
  <c r="AH130" i="4037"/>
  <c r="AH132" i="4037" s="1"/>
  <c r="AH139" i="4037" s="1"/>
  <c r="AH140" i="4037" s="1"/>
  <c r="AH143" i="4037" s="1"/>
  <c r="AR130" i="4037"/>
  <c r="AR132" i="4037" s="1"/>
  <c r="AR139" i="4037" s="1"/>
  <c r="AR140" i="4037" s="1"/>
  <c r="AR142" i="4037" s="1"/>
  <c r="AR144" i="4037" s="1"/>
  <c r="P130" i="4037"/>
  <c r="P132" i="4037" s="1"/>
  <c r="P139" i="4037" s="1"/>
  <c r="AF130" i="4037"/>
  <c r="AF132" i="4037" s="1"/>
  <c r="AF139" i="4037" s="1"/>
  <c r="AF140" i="4037" s="1"/>
  <c r="AF143" i="4037" s="1"/>
  <c r="AM130" i="4037"/>
  <c r="AM132" i="4037" s="1"/>
  <c r="AM139" i="4037" s="1"/>
  <c r="AM140" i="4037" s="1"/>
  <c r="AM143" i="4037" s="1"/>
  <c r="AD143" i="4037"/>
  <c r="AP143" i="4037"/>
  <c r="M130" i="4037"/>
  <c r="M132" i="4037" s="1"/>
  <c r="W130" i="4037"/>
  <c r="W132" i="4037" s="1"/>
  <c r="S140" i="4037"/>
  <c r="AK130" i="4037"/>
  <c r="AK132" i="4037" s="1"/>
  <c r="AE139" i="4037"/>
  <c r="AE140" i="4037" s="1"/>
  <c r="AE142" i="4037" s="1"/>
  <c r="AE144" i="4037" s="1"/>
  <c r="K140" i="4037"/>
  <c r="AQ143" i="4037"/>
  <c r="G140" i="4037"/>
  <c r="AJ130" i="4037"/>
  <c r="AJ132" i="4037" s="1"/>
  <c r="F139" i="4037"/>
  <c r="O130" i="4037"/>
  <c r="O132" i="4037" s="1"/>
  <c r="AN130" i="4037"/>
  <c r="AN132" i="4037" s="1"/>
  <c r="F25" i="149"/>
  <c r="F18" i="149"/>
  <c r="F13" i="149"/>
  <c r="H1" i="149"/>
  <c r="F1" i="149"/>
  <c r="C152" i="4018"/>
  <c r="AO123" i="4018"/>
  <c r="AM115" i="4022"/>
  <c r="D43" i="4021"/>
  <c r="B175" i="4036"/>
  <c r="D174" i="4036"/>
  <c r="D173" i="4036"/>
  <c r="D174" i="4023"/>
  <c r="D173" i="4023"/>
  <c r="D15" i="149"/>
  <c r="F15" i="149"/>
  <c r="D16" i="149"/>
  <c r="F16" i="149"/>
  <c r="D20" i="149"/>
  <c r="F20" i="149"/>
  <c r="D21" i="149"/>
  <c r="F21" i="149"/>
  <c r="D22" i="149"/>
  <c r="F22" i="149"/>
  <c r="D23" i="149"/>
  <c r="F23" i="149"/>
  <c r="C60" i="4025"/>
  <c r="C58" i="4025"/>
  <c r="C56" i="4025"/>
  <c r="C53" i="4025"/>
  <c r="C49" i="4025"/>
  <c r="C44" i="4025"/>
  <c r="C35" i="4025"/>
  <c r="C33" i="4025"/>
  <c r="C34" i="4025" s="1"/>
  <c r="C27" i="4025"/>
  <c r="C25" i="4025"/>
  <c r="D172" i="4036"/>
  <c r="D171" i="4036"/>
  <c r="D170" i="4036"/>
  <c r="B170" i="4036"/>
  <c r="D169" i="4036"/>
  <c r="B169" i="4036"/>
  <c r="D168" i="4036"/>
  <c r="D167" i="4036"/>
  <c r="D166" i="4036"/>
  <c r="D165" i="4036"/>
  <c r="D164" i="4036"/>
  <c r="C154" i="4036"/>
  <c r="D151" i="4036"/>
  <c r="AR147" i="4036"/>
  <c r="AQ147" i="4036"/>
  <c r="AP147" i="4036"/>
  <c r="AO147" i="4036"/>
  <c r="AN147" i="4036"/>
  <c r="AM147" i="4036"/>
  <c r="AL147" i="4036"/>
  <c r="AK147" i="4036"/>
  <c r="AJ147" i="4036"/>
  <c r="AI147" i="4036"/>
  <c r="AH147" i="4036"/>
  <c r="AG147" i="4036"/>
  <c r="AF147" i="4036"/>
  <c r="AE147" i="4036"/>
  <c r="AD147" i="4036"/>
  <c r="AC147" i="4036"/>
  <c r="AB147" i="4036"/>
  <c r="AA147" i="4036"/>
  <c r="Z147" i="4036"/>
  <c r="Y147" i="4036"/>
  <c r="X147" i="4036"/>
  <c r="W147" i="4036"/>
  <c r="V147" i="4036"/>
  <c r="U147" i="4036"/>
  <c r="T147" i="4036"/>
  <c r="AR145" i="4036"/>
  <c r="AQ145" i="4036"/>
  <c r="AP145" i="4036"/>
  <c r="AO145" i="4036"/>
  <c r="AN145" i="4036"/>
  <c r="AM145" i="4036"/>
  <c r="AL145" i="4036"/>
  <c r="AK145" i="4036"/>
  <c r="AJ145" i="4036"/>
  <c r="AI145" i="4036"/>
  <c r="AH145" i="4036"/>
  <c r="AG145" i="4036"/>
  <c r="AF145" i="4036"/>
  <c r="AE145" i="4036"/>
  <c r="AD145" i="4036"/>
  <c r="AC145" i="4036"/>
  <c r="AB145" i="4036"/>
  <c r="AA145" i="4036"/>
  <c r="Z145" i="4036"/>
  <c r="Y145" i="4036"/>
  <c r="X145" i="4036"/>
  <c r="W145" i="4036"/>
  <c r="V145" i="4036"/>
  <c r="U145" i="4036"/>
  <c r="T145" i="4036"/>
  <c r="C145" i="4036"/>
  <c r="AR136" i="4036"/>
  <c r="AQ136" i="4036"/>
  <c r="AP136" i="4036"/>
  <c r="AO136" i="4036"/>
  <c r="AN136" i="4036"/>
  <c r="AM136" i="4036"/>
  <c r="AL136" i="4036"/>
  <c r="AK136" i="4036"/>
  <c r="AJ136" i="4036"/>
  <c r="AI136" i="4036"/>
  <c r="AH136" i="4036"/>
  <c r="AG136" i="4036"/>
  <c r="AF136" i="4036"/>
  <c r="AE136" i="4036"/>
  <c r="AD136" i="4036"/>
  <c r="AC136" i="4036"/>
  <c r="AB136" i="4036"/>
  <c r="AA136" i="4036"/>
  <c r="Z136" i="4036"/>
  <c r="Y136" i="4036"/>
  <c r="X136" i="4036"/>
  <c r="W136" i="4036"/>
  <c r="V136" i="4036"/>
  <c r="U136" i="4036"/>
  <c r="T136" i="4036"/>
  <c r="AR135" i="4036"/>
  <c r="AQ135" i="4036"/>
  <c r="AP135" i="4036"/>
  <c r="AO135" i="4036"/>
  <c r="AN135" i="4036"/>
  <c r="AM135" i="4036"/>
  <c r="AL135" i="4036"/>
  <c r="AK135" i="4036"/>
  <c r="AJ135" i="4036"/>
  <c r="AI135" i="4036"/>
  <c r="AH135" i="4036"/>
  <c r="AG135" i="4036"/>
  <c r="AF135" i="4036"/>
  <c r="AE135" i="4036"/>
  <c r="AD135" i="4036"/>
  <c r="AC135" i="4036"/>
  <c r="AB135" i="4036"/>
  <c r="AA135" i="4036"/>
  <c r="Z135" i="4036"/>
  <c r="Y135" i="4036"/>
  <c r="X135" i="4036"/>
  <c r="W135" i="4036"/>
  <c r="V135" i="4036"/>
  <c r="U135" i="4036"/>
  <c r="T135" i="4036"/>
  <c r="AR134" i="4036"/>
  <c r="AQ134" i="4036"/>
  <c r="AP134" i="4036"/>
  <c r="AO134" i="4036"/>
  <c r="AN134" i="4036"/>
  <c r="AM134" i="4036"/>
  <c r="AL134" i="4036"/>
  <c r="AK134" i="4036"/>
  <c r="AJ134" i="4036"/>
  <c r="AI134" i="4036"/>
  <c r="AH134" i="4036"/>
  <c r="AG134" i="4036"/>
  <c r="AF134" i="4036"/>
  <c r="AE134" i="4036"/>
  <c r="AD134" i="4036"/>
  <c r="AC134" i="4036"/>
  <c r="AB134" i="4036"/>
  <c r="AA134" i="4036"/>
  <c r="Z134" i="4036"/>
  <c r="Y134" i="4036"/>
  <c r="X134" i="4036"/>
  <c r="W134" i="4036"/>
  <c r="V134" i="4036"/>
  <c r="U134" i="4036"/>
  <c r="T134" i="4036"/>
  <c r="E125" i="4036"/>
  <c r="C125" i="4036"/>
  <c r="E124" i="4036"/>
  <c r="C124" i="4036"/>
  <c r="AR123" i="4036"/>
  <c r="AQ123" i="4036"/>
  <c r="AP123" i="4036"/>
  <c r="AO123" i="4036"/>
  <c r="AN123" i="4036"/>
  <c r="AM123" i="4036"/>
  <c r="AL123" i="4036"/>
  <c r="AK123" i="4036"/>
  <c r="AJ123" i="4036"/>
  <c r="AI123" i="4036"/>
  <c r="AH123" i="4036"/>
  <c r="AG123" i="4036"/>
  <c r="AF123" i="4036"/>
  <c r="AE123" i="4036"/>
  <c r="AD123" i="4036"/>
  <c r="AC123" i="4036"/>
  <c r="AB123" i="4036"/>
  <c r="AA123" i="4036"/>
  <c r="Z123" i="4036"/>
  <c r="Y123" i="4036"/>
  <c r="X123" i="4036"/>
  <c r="W123" i="4036"/>
  <c r="V123" i="4036"/>
  <c r="U123" i="4036"/>
  <c r="T123" i="4036"/>
  <c r="S123" i="4036"/>
  <c r="R123" i="4036"/>
  <c r="Q123" i="4036"/>
  <c r="P123" i="4036"/>
  <c r="O123" i="4036"/>
  <c r="N123" i="4036"/>
  <c r="M123" i="4036"/>
  <c r="L123" i="4036"/>
  <c r="K123" i="4036"/>
  <c r="J123" i="4036"/>
  <c r="I123" i="4036"/>
  <c r="H123" i="4036"/>
  <c r="G123" i="4036"/>
  <c r="F123" i="4036"/>
  <c r="E123" i="4036"/>
  <c r="AR122" i="4036"/>
  <c r="AQ122" i="4036"/>
  <c r="AP122" i="4036"/>
  <c r="AO122" i="4036"/>
  <c r="AN122" i="4036"/>
  <c r="AM122" i="4036"/>
  <c r="AL122" i="4036"/>
  <c r="AK122" i="4036"/>
  <c r="AJ122" i="4036"/>
  <c r="AI122" i="4036"/>
  <c r="AH122" i="4036"/>
  <c r="AG122" i="4036"/>
  <c r="AF122" i="4036"/>
  <c r="AE122" i="4036"/>
  <c r="AD122" i="4036"/>
  <c r="AC122" i="4036"/>
  <c r="AB122" i="4036"/>
  <c r="AA122" i="4036"/>
  <c r="Z122" i="4036"/>
  <c r="Y122" i="4036"/>
  <c r="X122" i="4036"/>
  <c r="W122" i="4036"/>
  <c r="V122" i="4036"/>
  <c r="U122" i="4036"/>
  <c r="T122" i="4036"/>
  <c r="S122" i="4036"/>
  <c r="R122" i="4036"/>
  <c r="Q122" i="4036"/>
  <c r="P122" i="4036"/>
  <c r="O122" i="4036"/>
  <c r="N122" i="4036"/>
  <c r="M122" i="4036"/>
  <c r="L122" i="4036"/>
  <c r="K122" i="4036"/>
  <c r="J122" i="4036"/>
  <c r="I122" i="4036"/>
  <c r="H122" i="4036"/>
  <c r="G122" i="4036"/>
  <c r="F122" i="4036"/>
  <c r="E122" i="4036"/>
  <c r="AR121" i="4036"/>
  <c r="AQ121" i="4036"/>
  <c r="AP121" i="4036"/>
  <c r="AO121" i="4036"/>
  <c r="AN121" i="4036"/>
  <c r="AM121" i="4036"/>
  <c r="AL121" i="4036"/>
  <c r="AK121" i="4036"/>
  <c r="AJ121" i="4036"/>
  <c r="AI121" i="4036"/>
  <c r="AH121" i="4036"/>
  <c r="AG121" i="4036"/>
  <c r="AF121" i="4036"/>
  <c r="AE121" i="4036"/>
  <c r="AD121" i="4036"/>
  <c r="AC121" i="4036"/>
  <c r="AB121" i="4036"/>
  <c r="AA121" i="4036"/>
  <c r="Z121" i="4036"/>
  <c r="Y121" i="4036"/>
  <c r="X121" i="4036"/>
  <c r="W121" i="4036"/>
  <c r="V121" i="4036"/>
  <c r="U121" i="4036"/>
  <c r="T121" i="4036"/>
  <c r="S121" i="4036"/>
  <c r="R121" i="4036"/>
  <c r="Q121" i="4036"/>
  <c r="P121" i="4036"/>
  <c r="O121" i="4036"/>
  <c r="N121" i="4036"/>
  <c r="M121" i="4036"/>
  <c r="L121" i="4036"/>
  <c r="K121" i="4036"/>
  <c r="J121" i="4036"/>
  <c r="I121" i="4036"/>
  <c r="H121" i="4036"/>
  <c r="G121" i="4036"/>
  <c r="F121" i="4036"/>
  <c r="E121" i="4036"/>
  <c r="C118" i="4036"/>
  <c r="AR117" i="4036"/>
  <c r="AQ117" i="4036"/>
  <c r="AP117" i="4036"/>
  <c r="AO117" i="4036"/>
  <c r="AN117" i="4036"/>
  <c r="AM117" i="4036"/>
  <c r="AL117" i="4036"/>
  <c r="AK117" i="4036"/>
  <c r="AJ117" i="4036"/>
  <c r="AI117" i="4036"/>
  <c r="AH117" i="4036"/>
  <c r="AG117" i="4036"/>
  <c r="AF117" i="4036"/>
  <c r="AE117" i="4036"/>
  <c r="AD117" i="4036"/>
  <c r="AC117" i="4036"/>
  <c r="AB117" i="4036"/>
  <c r="AA117" i="4036"/>
  <c r="Z117" i="4036"/>
  <c r="Y117" i="4036"/>
  <c r="X117" i="4036"/>
  <c r="W117" i="4036"/>
  <c r="V117" i="4036"/>
  <c r="U117" i="4036"/>
  <c r="T117" i="4036"/>
  <c r="S117" i="4036"/>
  <c r="R117" i="4036"/>
  <c r="Q117" i="4036"/>
  <c r="P117" i="4036"/>
  <c r="O117" i="4036"/>
  <c r="N117" i="4036"/>
  <c r="M117" i="4036"/>
  <c r="L117" i="4036"/>
  <c r="K117" i="4036"/>
  <c r="J117" i="4036"/>
  <c r="I117" i="4036"/>
  <c r="H117" i="4036"/>
  <c r="G117" i="4036"/>
  <c r="F117" i="4036"/>
  <c r="E117" i="4036"/>
  <c r="AR116" i="4036"/>
  <c r="AQ116" i="4036"/>
  <c r="AP116" i="4036"/>
  <c r="AO116" i="4036"/>
  <c r="AN116" i="4036"/>
  <c r="AM116" i="4036"/>
  <c r="AL116" i="4036"/>
  <c r="AK116" i="4036"/>
  <c r="AJ116" i="4036"/>
  <c r="AI116" i="4036"/>
  <c r="AH116" i="4036"/>
  <c r="AG116" i="4036"/>
  <c r="AF116" i="4036"/>
  <c r="AE116" i="4036"/>
  <c r="AD116" i="4036"/>
  <c r="AC116" i="4036"/>
  <c r="AB116" i="4036"/>
  <c r="AA116" i="4036"/>
  <c r="Z116" i="4036"/>
  <c r="Y116" i="4036"/>
  <c r="X116" i="4036"/>
  <c r="W116" i="4036"/>
  <c r="V116" i="4036"/>
  <c r="U116" i="4036"/>
  <c r="T116" i="4036"/>
  <c r="S116" i="4036"/>
  <c r="R116" i="4036"/>
  <c r="Q116" i="4036"/>
  <c r="P116" i="4036"/>
  <c r="O116" i="4036"/>
  <c r="N116" i="4036"/>
  <c r="M116" i="4036"/>
  <c r="L116" i="4036"/>
  <c r="K116" i="4036"/>
  <c r="J116" i="4036"/>
  <c r="I116" i="4036"/>
  <c r="H116" i="4036"/>
  <c r="G116" i="4036"/>
  <c r="F116" i="4036"/>
  <c r="E116" i="4036"/>
  <c r="C116" i="4036"/>
  <c r="C115" i="4036"/>
  <c r="AR109" i="4036"/>
  <c r="AR124" i="4036" s="1"/>
  <c r="AQ109" i="4036"/>
  <c r="AQ124" i="4036" s="1"/>
  <c r="AP109" i="4036"/>
  <c r="AO109" i="4036"/>
  <c r="AO124" i="4036" s="1"/>
  <c r="AN109" i="4036"/>
  <c r="AM109" i="4036"/>
  <c r="AM124" i="4036" s="1"/>
  <c r="AL109" i="4036"/>
  <c r="AL124" i="4036" s="1"/>
  <c r="AK109" i="4036"/>
  <c r="AK124" i="4036" s="1"/>
  <c r="AJ109" i="4036"/>
  <c r="AJ124" i="4036" s="1"/>
  <c r="AI109" i="4036"/>
  <c r="AI124" i="4036" s="1"/>
  <c r="AH109" i="4036"/>
  <c r="AH124" i="4036" s="1"/>
  <c r="AG109" i="4036"/>
  <c r="AF109" i="4036"/>
  <c r="AF124" i="4036" s="1"/>
  <c r="AE109" i="4036"/>
  <c r="AE124" i="4036" s="1"/>
  <c r="AD109" i="4036"/>
  <c r="AD124" i="4036" s="1"/>
  <c r="AC109" i="4036"/>
  <c r="AC124" i="4036" s="1"/>
  <c r="AB109" i="4036"/>
  <c r="AB124" i="4036" s="1"/>
  <c r="AA109" i="4036"/>
  <c r="AA124" i="4036" s="1"/>
  <c r="Z109" i="4036"/>
  <c r="Z124" i="4036" s="1"/>
  <c r="Y109" i="4036"/>
  <c r="Y124" i="4036" s="1"/>
  <c r="X109" i="4036"/>
  <c r="X124" i="4036" s="1"/>
  <c r="W109" i="4036"/>
  <c r="W124" i="4036" s="1"/>
  <c r="V109" i="4036"/>
  <c r="V124" i="4036" s="1"/>
  <c r="U109" i="4036"/>
  <c r="U124" i="4036" s="1"/>
  <c r="T109" i="4036"/>
  <c r="T124" i="4036" s="1"/>
  <c r="S109" i="4036"/>
  <c r="R109" i="4036"/>
  <c r="Q109" i="4036"/>
  <c r="P109" i="4036"/>
  <c r="O109" i="4036"/>
  <c r="N109" i="4036"/>
  <c r="M109" i="4036"/>
  <c r="L109" i="4036"/>
  <c r="K109" i="4036"/>
  <c r="J109" i="4036"/>
  <c r="I109" i="4036"/>
  <c r="H109" i="4036"/>
  <c r="G109" i="4036"/>
  <c r="F109" i="4036"/>
  <c r="E109" i="4036"/>
  <c r="AP124" i="4036"/>
  <c r="AN124" i="4036"/>
  <c r="AG124" i="4036"/>
  <c r="D108" i="4036"/>
  <c r="AR125" i="4036"/>
  <c r="AQ125" i="4036"/>
  <c r="AP125" i="4036"/>
  <c r="AO125" i="4036"/>
  <c r="AN125" i="4036"/>
  <c r="AM125" i="4036"/>
  <c r="AL125" i="4036"/>
  <c r="AK125" i="4036"/>
  <c r="AJ125" i="4036"/>
  <c r="AI125" i="4036"/>
  <c r="AH125" i="4036"/>
  <c r="AG125" i="4036"/>
  <c r="AF125" i="4036"/>
  <c r="AE125" i="4036"/>
  <c r="AD125" i="4036"/>
  <c r="AC125" i="4036"/>
  <c r="AB125" i="4036"/>
  <c r="AA125" i="4036"/>
  <c r="Z125" i="4036"/>
  <c r="Y125" i="4036"/>
  <c r="X125" i="4036"/>
  <c r="W125" i="4036"/>
  <c r="V125" i="4036"/>
  <c r="U125" i="4036"/>
  <c r="T125" i="4036"/>
  <c r="S125" i="4036"/>
  <c r="R125" i="4036"/>
  <c r="Q125" i="4036"/>
  <c r="P125" i="4036"/>
  <c r="O125" i="4036"/>
  <c r="N125" i="4036"/>
  <c r="M125" i="4036"/>
  <c r="L125" i="4036"/>
  <c r="K125" i="4036"/>
  <c r="J125" i="4036"/>
  <c r="I125" i="4036"/>
  <c r="H125" i="4036"/>
  <c r="G125" i="4036"/>
  <c r="F125" i="4036"/>
  <c r="D107" i="4036"/>
  <c r="E106" i="4036"/>
  <c r="D85" i="4036"/>
  <c r="D84" i="4036"/>
  <c r="D70" i="4036"/>
  <c r="D65" i="4036"/>
  <c r="D64" i="4036"/>
  <c r="D63" i="4036"/>
  <c r="D59" i="4036"/>
  <c r="D57" i="4036"/>
  <c r="D55" i="4036"/>
  <c r="D49" i="4036"/>
  <c r="D48" i="4036"/>
  <c r="E47" i="4036"/>
  <c r="D47" i="4036"/>
  <c r="E46" i="4036"/>
  <c r="D46" i="4036"/>
  <c r="E45" i="4036"/>
  <c r="D45" i="4036"/>
  <c r="C152" i="4036"/>
  <c r="AL115" i="4036"/>
  <c r="E13" i="4036"/>
  <c r="D13" i="4036"/>
  <c r="E12" i="4036"/>
  <c r="D28" i="4036"/>
  <c r="D5" i="4036"/>
  <c r="C154" i="4035"/>
  <c r="D151" i="4035"/>
  <c r="AR147" i="4035"/>
  <c r="AQ147" i="4035"/>
  <c r="AP147" i="4035"/>
  <c r="AO147" i="4035"/>
  <c r="AN147" i="4035"/>
  <c r="AM147" i="4035"/>
  <c r="AL147" i="4035"/>
  <c r="AK147" i="4035"/>
  <c r="AJ147" i="4035"/>
  <c r="AI147" i="4035"/>
  <c r="AH147" i="4035"/>
  <c r="AG147" i="4035"/>
  <c r="AF147" i="4035"/>
  <c r="AE147" i="4035"/>
  <c r="AD147" i="4035"/>
  <c r="AC147" i="4035"/>
  <c r="AB147" i="4035"/>
  <c r="AA147" i="4035"/>
  <c r="Z147" i="4035"/>
  <c r="Y147" i="4035"/>
  <c r="X147" i="4035"/>
  <c r="W147" i="4035"/>
  <c r="V147" i="4035"/>
  <c r="U147" i="4035"/>
  <c r="T147" i="4035"/>
  <c r="AR145" i="4035"/>
  <c r="AQ145" i="4035"/>
  <c r="AP145" i="4035"/>
  <c r="AO145" i="4035"/>
  <c r="AN145" i="4035"/>
  <c r="AM145" i="4035"/>
  <c r="AL145" i="4035"/>
  <c r="AK145" i="4035"/>
  <c r="AJ145" i="4035"/>
  <c r="AI145" i="4035"/>
  <c r="AH145" i="4035"/>
  <c r="AG145" i="4035"/>
  <c r="AF145" i="4035"/>
  <c r="AE145" i="4035"/>
  <c r="AD145" i="4035"/>
  <c r="AC145" i="4035"/>
  <c r="AB145" i="4035"/>
  <c r="AA145" i="4035"/>
  <c r="Z145" i="4035"/>
  <c r="Y145" i="4035"/>
  <c r="X145" i="4035"/>
  <c r="W145" i="4035"/>
  <c r="V145" i="4035"/>
  <c r="U145" i="4035"/>
  <c r="T145" i="4035"/>
  <c r="C145" i="4035"/>
  <c r="AR136" i="4035"/>
  <c r="AQ136" i="4035"/>
  <c r="AP136" i="4035"/>
  <c r="AO136" i="4035"/>
  <c r="AN136" i="4035"/>
  <c r="AM136" i="4035"/>
  <c r="AL136" i="4035"/>
  <c r="AK136" i="4035"/>
  <c r="AJ136" i="4035"/>
  <c r="AI136" i="4035"/>
  <c r="AH136" i="4035"/>
  <c r="AG136" i="4035"/>
  <c r="AF136" i="4035"/>
  <c r="AE136" i="4035"/>
  <c r="AD136" i="4035"/>
  <c r="AC136" i="4035"/>
  <c r="AB136" i="4035"/>
  <c r="AA136" i="4035"/>
  <c r="Z136" i="4035"/>
  <c r="Y136" i="4035"/>
  <c r="X136" i="4035"/>
  <c r="W136" i="4035"/>
  <c r="V136" i="4035"/>
  <c r="U136" i="4035"/>
  <c r="T136" i="4035"/>
  <c r="AR135" i="4035"/>
  <c r="AQ135" i="4035"/>
  <c r="AP135" i="4035"/>
  <c r="AO135" i="4035"/>
  <c r="AN135" i="4035"/>
  <c r="AM135" i="4035"/>
  <c r="AL135" i="4035"/>
  <c r="AK135" i="4035"/>
  <c r="AJ135" i="4035"/>
  <c r="AI135" i="4035"/>
  <c r="AH135" i="4035"/>
  <c r="AG135" i="4035"/>
  <c r="AF135" i="4035"/>
  <c r="AE135" i="4035"/>
  <c r="AD135" i="4035"/>
  <c r="AC135" i="4035"/>
  <c r="AB135" i="4035"/>
  <c r="AA135" i="4035"/>
  <c r="Z135" i="4035"/>
  <c r="Y135" i="4035"/>
  <c r="X135" i="4035"/>
  <c r="W135" i="4035"/>
  <c r="V135" i="4035"/>
  <c r="U135" i="4035"/>
  <c r="T135" i="4035"/>
  <c r="AR134" i="4035"/>
  <c r="AQ134" i="4035"/>
  <c r="AP134" i="4035"/>
  <c r="AO134" i="4035"/>
  <c r="AN134" i="4035"/>
  <c r="AM134" i="4035"/>
  <c r="AL134" i="4035"/>
  <c r="AK134" i="4035"/>
  <c r="AJ134" i="4035"/>
  <c r="AI134" i="4035"/>
  <c r="AH134" i="4035"/>
  <c r="AG134" i="4035"/>
  <c r="AF134" i="4035"/>
  <c r="AE134" i="4035"/>
  <c r="AD134" i="4035"/>
  <c r="AC134" i="4035"/>
  <c r="AB134" i="4035"/>
  <c r="AA134" i="4035"/>
  <c r="Z134" i="4035"/>
  <c r="Y134" i="4035"/>
  <c r="X134" i="4035"/>
  <c r="W134" i="4035"/>
  <c r="V134" i="4035"/>
  <c r="U134" i="4035"/>
  <c r="T134" i="4035"/>
  <c r="E125" i="4035"/>
  <c r="C125" i="4035"/>
  <c r="E124" i="4035"/>
  <c r="C124" i="4035"/>
  <c r="AR123" i="4035"/>
  <c r="AQ123" i="4035"/>
  <c r="AP123" i="4035"/>
  <c r="AO123" i="4035"/>
  <c r="AN123" i="4035"/>
  <c r="AM123" i="4035"/>
  <c r="AL123" i="4035"/>
  <c r="AK123" i="4035"/>
  <c r="AJ123" i="4035"/>
  <c r="AI123" i="4035"/>
  <c r="AH123" i="4035"/>
  <c r="AG123" i="4035"/>
  <c r="AF123" i="4035"/>
  <c r="AE123" i="4035"/>
  <c r="AD123" i="4035"/>
  <c r="AC123" i="4035"/>
  <c r="AB123" i="4035"/>
  <c r="AA123" i="4035"/>
  <c r="Z123" i="4035"/>
  <c r="Y123" i="4035"/>
  <c r="X123" i="4035"/>
  <c r="W123" i="4035"/>
  <c r="V123" i="4035"/>
  <c r="U123" i="4035"/>
  <c r="T123" i="4035"/>
  <c r="S123" i="4035"/>
  <c r="R123" i="4035"/>
  <c r="Q123" i="4035"/>
  <c r="P123" i="4035"/>
  <c r="O123" i="4035"/>
  <c r="N123" i="4035"/>
  <c r="M123" i="4035"/>
  <c r="L123" i="4035"/>
  <c r="K123" i="4035"/>
  <c r="J123" i="4035"/>
  <c r="I123" i="4035"/>
  <c r="H123" i="4035"/>
  <c r="G123" i="4035"/>
  <c r="F123" i="4035"/>
  <c r="E123" i="4035"/>
  <c r="AR122" i="4035"/>
  <c r="AQ122" i="4035"/>
  <c r="AP122" i="4035"/>
  <c r="AO122" i="4035"/>
  <c r="AN122" i="4035"/>
  <c r="AM122" i="4035"/>
  <c r="AL122" i="4035"/>
  <c r="AK122" i="4035"/>
  <c r="AJ122" i="4035"/>
  <c r="AI122" i="4035"/>
  <c r="AH122" i="4035"/>
  <c r="AG122" i="4035"/>
  <c r="AF122" i="4035"/>
  <c r="AE122" i="4035"/>
  <c r="AD122" i="4035"/>
  <c r="AC122" i="4035"/>
  <c r="AB122" i="4035"/>
  <c r="AA122" i="4035"/>
  <c r="Z122" i="4035"/>
  <c r="Y122" i="4035"/>
  <c r="S122" i="4035"/>
  <c r="R122" i="4035"/>
  <c r="Q122" i="4035"/>
  <c r="P122" i="4035"/>
  <c r="O122" i="4035"/>
  <c r="N122" i="4035"/>
  <c r="M122" i="4035"/>
  <c r="L122" i="4035"/>
  <c r="K122" i="4035"/>
  <c r="J122" i="4035"/>
  <c r="I122" i="4035"/>
  <c r="H122" i="4035"/>
  <c r="G122" i="4035"/>
  <c r="F122" i="4035"/>
  <c r="E122" i="4035"/>
  <c r="AR121" i="4035"/>
  <c r="AQ121" i="4035"/>
  <c r="AP121" i="4035"/>
  <c r="AO121" i="4035"/>
  <c r="AN121" i="4035"/>
  <c r="AM121" i="4035"/>
  <c r="AL121" i="4035"/>
  <c r="AK121" i="4035"/>
  <c r="AJ121" i="4035"/>
  <c r="AI121" i="4035"/>
  <c r="AH121" i="4035"/>
  <c r="AG121" i="4035"/>
  <c r="AF121" i="4035"/>
  <c r="AE121" i="4035"/>
  <c r="AD121" i="4035"/>
  <c r="AC121" i="4035"/>
  <c r="AB121" i="4035"/>
  <c r="AA121" i="4035"/>
  <c r="Z121" i="4035"/>
  <c r="Y121" i="4035"/>
  <c r="X121" i="4035"/>
  <c r="W121" i="4035"/>
  <c r="V121" i="4035"/>
  <c r="U121" i="4035"/>
  <c r="T121" i="4035"/>
  <c r="S121" i="4035"/>
  <c r="R121" i="4035"/>
  <c r="Q121" i="4035"/>
  <c r="P121" i="4035"/>
  <c r="O121" i="4035"/>
  <c r="N121" i="4035"/>
  <c r="M121" i="4035"/>
  <c r="L121" i="4035"/>
  <c r="K121" i="4035"/>
  <c r="J121" i="4035"/>
  <c r="I121" i="4035"/>
  <c r="H121" i="4035"/>
  <c r="G121" i="4035"/>
  <c r="F121" i="4035"/>
  <c r="E121" i="4035"/>
  <c r="C118" i="4035"/>
  <c r="AR117" i="4035"/>
  <c r="AQ117" i="4035"/>
  <c r="AP117" i="4035"/>
  <c r="AO117" i="4035"/>
  <c r="AN117" i="4035"/>
  <c r="AM117" i="4035"/>
  <c r="AL117" i="4035"/>
  <c r="AK117" i="4035"/>
  <c r="AJ117" i="4035"/>
  <c r="AI117" i="4035"/>
  <c r="AH117" i="4035"/>
  <c r="AG117" i="4035"/>
  <c r="AF117" i="4035"/>
  <c r="AE117" i="4035"/>
  <c r="AD117" i="4035"/>
  <c r="AC117" i="4035"/>
  <c r="AB117" i="4035"/>
  <c r="AA117" i="4035"/>
  <c r="Z117" i="4035"/>
  <c r="Y117" i="4035"/>
  <c r="X117" i="4035"/>
  <c r="W117" i="4035"/>
  <c r="V117" i="4035"/>
  <c r="U117" i="4035"/>
  <c r="T117" i="4035"/>
  <c r="S117" i="4035"/>
  <c r="R117" i="4035"/>
  <c r="Q117" i="4035"/>
  <c r="P117" i="4035"/>
  <c r="O117" i="4035"/>
  <c r="N117" i="4035"/>
  <c r="M117" i="4035"/>
  <c r="L117" i="4035"/>
  <c r="K117" i="4035"/>
  <c r="J117" i="4035"/>
  <c r="I117" i="4035"/>
  <c r="H117" i="4035"/>
  <c r="G117" i="4035"/>
  <c r="F117" i="4035"/>
  <c r="E117" i="4035"/>
  <c r="AR116" i="4035"/>
  <c r="AQ116" i="4035"/>
  <c r="AP116" i="4035"/>
  <c r="AO116" i="4035"/>
  <c r="AN116" i="4035"/>
  <c r="AM116" i="4035"/>
  <c r="AL116" i="4035"/>
  <c r="AK116" i="4035"/>
  <c r="AJ116" i="4035"/>
  <c r="AI116" i="4035"/>
  <c r="AH116" i="4035"/>
  <c r="AG116" i="4035"/>
  <c r="AF116" i="4035"/>
  <c r="AE116" i="4035"/>
  <c r="AD116" i="4035"/>
  <c r="AC116" i="4035"/>
  <c r="AB116" i="4035"/>
  <c r="AA116" i="4035"/>
  <c r="Z116" i="4035"/>
  <c r="Y116" i="4035"/>
  <c r="X116" i="4035"/>
  <c r="W116" i="4035"/>
  <c r="V116" i="4035"/>
  <c r="U116" i="4035"/>
  <c r="T116" i="4035"/>
  <c r="S116" i="4035"/>
  <c r="R116" i="4035"/>
  <c r="Q116" i="4035"/>
  <c r="P116" i="4035"/>
  <c r="O116" i="4035"/>
  <c r="N116" i="4035"/>
  <c r="M116" i="4035"/>
  <c r="L116" i="4035"/>
  <c r="K116" i="4035"/>
  <c r="J116" i="4035"/>
  <c r="I116" i="4035"/>
  <c r="H116" i="4035"/>
  <c r="G116" i="4035"/>
  <c r="F116" i="4035"/>
  <c r="E116" i="4035"/>
  <c r="C116" i="4035"/>
  <c r="C115" i="4035"/>
  <c r="AR109" i="4035"/>
  <c r="AR124" i="4035" s="1"/>
  <c r="AQ109" i="4035"/>
  <c r="AQ124" i="4035" s="1"/>
  <c r="AP109" i="4035"/>
  <c r="AP124" i="4035" s="1"/>
  <c r="AO109" i="4035"/>
  <c r="AO124" i="4035" s="1"/>
  <c r="AN109" i="4035"/>
  <c r="AN124" i="4035" s="1"/>
  <c r="AM109" i="4035"/>
  <c r="AL109" i="4035"/>
  <c r="AL124" i="4035" s="1"/>
  <c r="AK109" i="4035"/>
  <c r="AK124" i="4035" s="1"/>
  <c r="AJ109" i="4035"/>
  <c r="AJ124" i="4035" s="1"/>
  <c r="AI109" i="4035"/>
  <c r="AI124" i="4035" s="1"/>
  <c r="AH109" i="4035"/>
  <c r="AH124" i="4035" s="1"/>
  <c r="AG109" i="4035"/>
  <c r="AG124" i="4035" s="1"/>
  <c r="AF109" i="4035"/>
  <c r="AF124" i="4035" s="1"/>
  <c r="AE109" i="4035"/>
  <c r="AE124" i="4035" s="1"/>
  <c r="AD109" i="4035"/>
  <c r="AD124" i="4035" s="1"/>
  <c r="AC109" i="4035"/>
  <c r="AC124" i="4035" s="1"/>
  <c r="AB109" i="4035"/>
  <c r="AB124" i="4035" s="1"/>
  <c r="AA109" i="4035"/>
  <c r="AA124" i="4035" s="1"/>
  <c r="Z109" i="4035"/>
  <c r="Z124" i="4035" s="1"/>
  <c r="Y109" i="4035"/>
  <c r="Y124" i="4035" s="1"/>
  <c r="X109" i="4035"/>
  <c r="W109" i="4035"/>
  <c r="V109" i="4035"/>
  <c r="U109" i="4035"/>
  <c r="T109" i="4035"/>
  <c r="S109" i="4035"/>
  <c r="R109" i="4035"/>
  <c r="Q109" i="4035"/>
  <c r="P109" i="4035"/>
  <c r="O109" i="4035"/>
  <c r="N109" i="4035"/>
  <c r="M109" i="4035"/>
  <c r="L109" i="4035"/>
  <c r="K109" i="4035"/>
  <c r="J109" i="4035"/>
  <c r="I109" i="4035"/>
  <c r="H109" i="4035"/>
  <c r="G109" i="4035"/>
  <c r="F109" i="4035"/>
  <c r="E109" i="4035"/>
  <c r="AM124" i="4035"/>
  <c r="D108" i="4035"/>
  <c r="AR125" i="4035"/>
  <c r="AQ125" i="4035"/>
  <c r="AP125" i="4035"/>
  <c r="AO125" i="4035"/>
  <c r="AN125" i="4035"/>
  <c r="AM125" i="4035"/>
  <c r="AL125" i="4035"/>
  <c r="AK125" i="4035"/>
  <c r="AJ125" i="4035"/>
  <c r="AI125" i="4035"/>
  <c r="AH125" i="4035"/>
  <c r="AG125" i="4035"/>
  <c r="AF125" i="4035"/>
  <c r="AE125" i="4035"/>
  <c r="AD125" i="4035"/>
  <c r="AC125" i="4035"/>
  <c r="AB125" i="4035"/>
  <c r="AA125" i="4035"/>
  <c r="Z125" i="4035"/>
  <c r="Y125" i="4035"/>
  <c r="X125" i="4035"/>
  <c r="W125" i="4035"/>
  <c r="V125" i="4035"/>
  <c r="U125" i="4035"/>
  <c r="T125" i="4035"/>
  <c r="S125" i="4035"/>
  <c r="R125" i="4035"/>
  <c r="Q125" i="4035"/>
  <c r="P125" i="4035"/>
  <c r="O125" i="4035"/>
  <c r="N125" i="4035"/>
  <c r="M125" i="4035"/>
  <c r="L125" i="4035"/>
  <c r="K125" i="4035"/>
  <c r="J125" i="4035"/>
  <c r="I125" i="4035"/>
  <c r="H125" i="4035"/>
  <c r="G125" i="4035"/>
  <c r="F125" i="4035"/>
  <c r="D107" i="4035"/>
  <c r="E106" i="4035"/>
  <c r="D85" i="4035"/>
  <c r="D84" i="4035"/>
  <c r="D70" i="4035"/>
  <c r="D65" i="4035"/>
  <c r="D64" i="4035"/>
  <c r="D63" i="4035"/>
  <c r="C60" i="4035"/>
  <c r="D59" i="4035"/>
  <c r="C58" i="4035"/>
  <c r="D57" i="4035"/>
  <c r="C56" i="4035"/>
  <c r="D55" i="4035"/>
  <c r="C53" i="4035"/>
  <c r="D49" i="4035"/>
  <c r="C49" i="4035"/>
  <c r="D48" i="4035"/>
  <c r="E47" i="4035"/>
  <c r="D47" i="4035"/>
  <c r="E46" i="4035"/>
  <c r="D46" i="4035"/>
  <c r="E45" i="4035"/>
  <c r="D45" i="4035"/>
  <c r="C44" i="4035"/>
  <c r="C152" i="4035"/>
  <c r="C35" i="4035"/>
  <c r="C33" i="4035"/>
  <c r="C27" i="4035"/>
  <c r="C25" i="4035"/>
  <c r="E13" i="4035"/>
  <c r="D13" i="4035"/>
  <c r="E12" i="4035"/>
  <c r="C8" i="4035"/>
  <c r="D5" i="4035"/>
  <c r="C154" i="4034"/>
  <c r="D151" i="4034"/>
  <c r="AR147" i="4034"/>
  <c r="AQ147" i="4034"/>
  <c r="AP147" i="4034"/>
  <c r="AO147" i="4034"/>
  <c r="AN147" i="4034"/>
  <c r="AM147" i="4034"/>
  <c r="AL147" i="4034"/>
  <c r="AK147" i="4034"/>
  <c r="AJ147" i="4034"/>
  <c r="AI147" i="4034"/>
  <c r="AH147" i="4034"/>
  <c r="AG147" i="4034"/>
  <c r="AF147" i="4034"/>
  <c r="AE147" i="4034"/>
  <c r="AD147" i="4034"/>
  <c r="AC147" i="4034"/>
  <c r="AB147" i="4034"/>
  <c r="AA147" i="4034"/>
  <c r="Z147" i="4034"/>
  <c r="Y147" i="4034"/>
  <c r="X147" i="4034"/>
  <c r="W147" i="4034"/>
  <c r="V147" i="4034"/>
  <c r="U147" i="4034"/>
  <c r="T147" i="4034"/>
  <c r="AR145" i="4034"/>
  <c r="AQ145" i="4034"/>
  <c r="AP145" i="4034"/>
  <c r="AO145" i="4034"/>
  <c r="AN145" i="4034"/>
  <c r="AM145" i="4034"/>
  <c r="AL145" i="4034"/>
  <c r="AK145" i="4034"/>
  <c r="AJ145" i="4034"/>
  <c r="AI145" i="4034"/>
  <c r="AH145" i="4034"/>
  <c r="AG145" i="4034"/>
  <c r="AF145" i="4034"/>
  <c r="AE145" i="4034"/>
  <c r="AD145" i="4034"/>
  <c r="AC145" i="4034"/>
  <c r="AB145" i="4034"/>
  <c r="AA145" i="4034"/>
  <c r="Z145" i="4034"/>
  <c r="Y145" i="4034"/>
  <c r="X145" i="4034"/>
  <c r="W145" i="4034"/>
  <c r="V145" i="4034"/>
  <c r="U145" i="4034"/>
  <c r="T145" i="4034"/>
  <c r="C145" i="4034"/>
  <c r="AR136" i="4034"/>
  <c r="AQ136" i="4034"/>
  <c r="AP136" i="4034"/>
  <c r="AO136" i="4034"/>
  <c r="AN136" i="4034"/>
  <c r="AM136" i="4034"/>
  <c r="AL136" i="4034"/>
  <c r="AK136" i="4034"/>
  <c r="AJ136" i="4034"/>
  <c r="AI136" i="4034"/>
  <c r="AH136" i="4034"/>
  <c r="AG136" i="4034"/>
  <c r="AF136" i="4034"/>
  <c r="AE136" i="4034"/>
  <c r="AD136" i="4034"/>
  <c r="AC136" i="4034"/>
  <c r="AB136" i="4034"/>
  <c r="AA136" i="4034"/>
  <c r="Z136" i="4034"/>
  <c r="Y136" i="4034"/>
  <c r="X136" i="4034"/>
  <c r="W136" i="4034"/>
  <c r="V136" i="4034"/>
  <c r="U136" i="4034"/>
  <c r="T136" i="4034"/>
  <c r="AR135" i="4034"/>
  <c r="AQ135" i="4034"/>
  <c r="AP135" i="4034"/>
  <c r="AO135" i="4034"/>
  <c r="AN135" i="4034"/>
  <c r="AM135" i="4034"/>
  <c r="AL135" i="4034"/>
  <c r="AK135" i="4034"/>
  <c r="AJ135" i="4034"/>
  <c r="AI135" i="4034"/>
  <c r="AH135" i="4034"/>
  <c r="AG135" i="4034"/>
  <c r="AF135" i="4034"/>
  <c r="AE135" i="4034"/>
  <c r="AD135" i="4034"/>
  <c r="AC135" i="4034"/>
  <c r="AB135" i="4034"/>
  <c r="AA135" i="4034"/>
  <c r="Z135" i="4034"/>
  <c r="Y135" i="4034"/>
  <c r="X135" i="4034"/>
  <c r="W135" i="4034"/>
  <c r="V135" i="4034"/>
  <c r="U135" i="4034"/>
  <c r="T135" i="4034"/>
  <c r="AR134" i="4034"/>
  <c r="AQ134" i="4034"/>
  <c r="AP134" i="4034"/>
  <c r="AO134" i="4034"/>
  <c r="AN134" i="4034"/>
  <c r="AM134" i="4034"/>
  <c r="AL134" i="4034"/>
  <c r="AK134" i="4034"/>
  <c r="AJ134" i="4034"/>
  <c r="AI134" i="4034"/>
  <c r="AH134" i="4034"/>
  <c r="AG134" i="4034"/>
  <c r="AF134" i="4034"/>
  <c r="AE134" i="4034"/>
  <c r="AD134" i="4034"/>
  <c r="AC134" i="4034"/>
  <c r="AB134" i="4034"/>
  <c r="AA134" i="4034"/>
  <c r="Z134" i="4034"/>
  <c r="Y134" i="4034"/>
  <c r="X134" i="4034"/>
  <c r="W134" i="4034"/>
  <c r="V134" i="4034"/>
  <c r="U134" i="4034"/>
  <c r="T134" i="4034"/>
  <c r="E125" i="4034"/>
  <c r="C125" i="4034"/>
  <c r="E124" i="4034"/>
  <c r="C124" i="4034"/>
  <c r="AR123" i="4034"/>
  <c r="AQ123" i="4034"/>
  <c r="AP123" i="4034"/>
  <c r="AO123" i="4034"/>
  <c r="AN123" i="4034"/>
  <c r="AM123" i="4034"/>
  <c r="AL123" i="4034"/>
  <c r="AK123" i="4034"/>
  <c r="AJ123" i="4034"/>
  <c r="AI123" i="4034"/>
  <c r="AH123" i="4034"/>
  <c r="AG123" i="4034"/>
  <c r="AF123" i="4034"/>
  <c r="AE123" i="4034"/>
  <c r="AD123" i="4034"/>
  <c r="AC123" i="4034"/>
  <c r="AB123" i="4034"/>
  <c r="AA123" i="4034"/>
  <c r="Z123" i="4034"/>
  <c r="Y123" i="4034"/>
  <c r="X123" i="4034"/>
  <c r="W123" i="4034"/>
  <c r="V123" i="4034"/>
  <c r="U123" i="4034"/>
  <c r="T123" i="4034"/>
  <c r="S123" i="4034"/>
  <c r="R123" i="4034"/>
  <c r="Q123" i="4034"/>
  <c r="P123" i="4034"/>
  <c r="O123" i="4034"/>
  <c r="N123" i="4034"/>
  <c r="M123" i="4034"/>
  <c r="L123" i="4034"/>
  <c r="K123" i="4034"/>
  <c r="J123" i="4034"/>
  <c r="I123" i="4034"/>
  <c r="H123" i="4034"/>
  <c r="G123" i="4034"/>
  <c r="F123" i="4034"/>
  <c r="E123" i="4034"/>
  <c r="AR122" i="4034"/>
  <c r="AQ122" i="4034"/>
  <c r="AP122" i="4034"/>
  <c r="AO122" i="4034"/>
  <c r="AN122" i="4034"/>
  <c r="AM122" i="4034"/>
  <c r="AL122" i="4034"/>
  <c r="AK122" i="4034"/>
  <c r="AJ122" i="4034"/>
  <c r="AI122" i="4034"/>
  <c r="AH122" i="4034"/>
  <c r="AG122" i="4034"/>
  <c r="AF122" i="4034"/>
  <c r="AE122" i="4034"/>
  <c r="AD122" i="4034"/>
  <c r="AC122" i="4034"/>
  <c r="AB122" i="4034"/>
  <c r="AA122" i="4034"/>
  <c r="Z122" i="4034"/>
  <c r="Y122" i="4034"/>
  <c r="S122" i="4034"/>
  <c r="R122" i="4034"/>
  <c r="Q122" i="4034"/>
  <c r="P122" i="4034"/>
  <c r="O122" i="4034"/>
  <c r="N122" i="4034"/>
  <c r="M122" i="4034"/>
  <c r="L122" i="4034"/>
  <c r="K122" i="4034"/>
  <c r="J122" i="4034"/>
  <c r="I122" i="4034"/>
  <c r="H122" i="4034"/>
  <c r="G122" i="4034"/>
  <c r="F122" i="4034"/>
  <c r="E122" i="4034"/>
  <c r="AR121" i="4034"/>
  <c r="AQ121" i="4034"/>
  <c r="AP121" i="4034"/>
  <c r="AO121" i="4034"/>
  <c r="AN121" i="4034"/>
  <c r="AM121" i="4034"/>
  <c r="AL121" i="4034"/>
  <c r="AK121" i="4034"/>
  <c r="AJ121" i="4034"/>
  <c r="AI121" i="4034"/>
  <c r="AH121" i="4034"/>
  <c r="AG121" i="4034"/>
  <c r="AF121" i="4034"/>
  <c r="AE121" i="4034"/>
  <c r="AD121" i="4034"/>
  <c r="AD131" i="4034" s="1"/>
  <c r="AC121" i="4034"/>
  <c r="AB121" i="4034"/>
  <c r="AA121" i="4034"/>
  <c r="Z121" i="4034"/>
  <c r="Y121" i="4034"/>
  <c r="X121" i="4034"/>
  <c r="W121" i="4034"/>
  <c r="V121" i="4034"/>
  <c r="U121" i="4034"/>
  <c r="T121" i="4034"/>
  <c r="S121" i="4034"/>
  <c r="R121" i="4034"/>
  <c r="Q121" i="4034"/>
  <c r="P121" i="4034"/>
  <c r="O121" i="4034"/>
  <c r="N121" i="4034"/>
  <c r="M121" i="4034"/>
  <c r="L121" i="4034"/>
  <c r="K121" i="4034"/>
  <c r="J121" i="4034"/>
  <c r="I121" i="4034"/>
  <c r="H121" i="4034"/>
  <c r="G121" i="4034"/>
  <c r="F121" i="4034"/>
  <c r="E121" i="4034"/>
  <c r="C118" i="4034"/>
  <c r="AR117" i="4034"/>
  <c r="AQ117" i="4034"/>
  <c r="AP117" i="4034"/>
  <c r="AO117" i="4034"/>
  <c r="AN117" i="4034"/>
  <c r="AM117" i="4034"/>
  <c r="AL117" i="4034"/>
  <c r="AK117" i="4034"/>
  <c r="AJ117" i="4034"/>
  <c r="AI117" i="4034"/>
  <c r="AH117" i="4034"/>
  <c r="AG117" i="4034"/>
  <c r="AF117" i="4034"/>
  <c r="AE117" i="4034"/>
  <c r="AD117" i="4034"/>
  <c r="AC117" i="4034"/>
  <c r="AB117" i="4034"/>
  <c r="AA117" i="4034"/>
  <c r="Z117" i="4034"/>
  <c r="Y117" i="4034"/>
  <c r="X117" i="4034"/>
  <c r="W117" i="4034"/>
  <c r="V117" i="4034"/>
  <c r="U117" i="4034"/>
  <c r="T117" i="4034"/>
  <c r="S117" i="4034"/>
  <c r="R117" i="4034"/>
  <c r="Q117" i="4034"/>
  <c r="P117" i="4034"/>
  <c r="O117" i="4034"/>
  <c r="N117" i="4034"/>
  <c r="M117" i="4034"/>
  <c r="L117" i="4034"/>
  <c r="K117" i="4034"/>
  <c r="J117" i="4034"/>
  <c r="I117" i="4034"/>
  <c r="H117" i="4034"/>
  <c r="G117" i="4034"/>
  <c r="F117" i="4034"/>
  <c r="E117" i="4034"/>
  <c r="AR116" i="4034"/>
  <c r="AQ116" i="4034"/>
  <c r="AP116" i="4034"/>
  <c r="AO116" i="4034"/>
  <c r="AN116" i="4034"/>
  <c r="AM116" i="4034"/>
  <c r="AL116" i="4034"/>
  <c r="AK116" i="4034"/>
  <c r="AJ116" i="4034"/>
  <c r="AI116" i="4034"/>
  <c r="AH116" i="4034"/>
  <c r="AG116" i="4034"/>
  <c r="AF116" i="4034"/>
  <c r="AE116" i="4034"/>
  <c r="AD116" i="4034"/>
  <c r="AC116" i="4034"/>
  <c r="AB116" i="4034"/>
  <c r="AA116" i="4034"/>
  <c r="Z116" i="4034"/>
  <c r="Y116" i="4034"/>
  <c r="X116" i="4034"/>
  <c r="W116" i="4034"/>
  <c r="V116" i="4034"/>
  <c r="U116" i="4034"/>
  <c r="T116" i="4034"/>
  <c r="S116" i="4034"/>
  <c r="R116" i="4034"/>
  <c r="Q116" i="4034"/>
  <c r="P116" i="4034"/>
  <c r="O116" i="4034"/>
  <c r="N116" i="4034"/>
  <c r="M116" i="4034"/>
  <c r="L116" i="4034"/>
  <c r="K116" i="4034"/>
  <c r="J116" i="4034"/>
  <c r="I116" i="4034"/>
  <c r="H116" i="4034"/>
  <c r="G116" i="4034"/>
  <c r="F116" i="4034"/>
  <c r="E116" i="4034"/>
  <c r="C116" i="4034"/>
  <c r="C115" i="4034"/>
  <c r="AR109" i="4034"/>
  <c r="AR124" i="4034" s="1"/>
  <c r="AQ109" i="4034"/>
  <c r="AQ124" i="4034" s="1"/>
  <c r="AP109" i="4034"/>
  <c r="AP124" i="4034" s="1"/>
  <c r="AO109" i="4034"/>
  <c r="AO124" i="4034" s="1"/>
  <c r="AN109" i="4034"/>
  <c r="AN124" i="4034" s="1"/>
  <c r="AM109" i="4034"/>
  <c r="AM124" i="4034" s="1"/>
  <c r="AL109" i="4034"/>
  <c r="AL124" i="4034" s="1"/>
  <c r="AK109" i="4034"/>
  <c r="AK124" i="4034" s="1"/>
  <c r="AJ109" i="4034"/>
  <c r="AJ124" i="4034" s="1"/>
  <c r="AI109" i="4034"/>
  <c r="AI124" i="4034" s="1"/>
  <c r="AH109" i="4034"/>
  <c r="AH124" i="4034" s="1"/>
  <c r="AG109" i="4034"/>
  <c r="AG124" i="4034" s="1"/>
  <c r="AF109" i="4034"/>
  <c r="AF124" i="4034" s="1"/>
  <c r="AE109" i="4034"/>
  <c r="AD109" i="4034"/>
  <c r="AD124" i="4034" s="1"/>
  <c r="AC109" i="4034"/>
  <c r="AC124" i="4034" s="1"/>
  <c r="AB109" i="4034"/>
  <c r="AB124" i="4034" s="1"/>
  <c r="AA109" i="4034"/>
  <c r="AA124" i="4034" s="1"/>
  <c r="Z109" i="4034"/>
  <c r="Z124" i="4034" s="1"/>
  <c r="Y109" i="4034"/>
  <c r="Y124" i="4034" s="1"/>
  <c r="X109" i="4034"/>
  <c r="W109" i="4034"/>
  <c r="V109" i="4034"/>
  <c r="U109" i="4034"/>
  <c r="T109" i="4034"/>
  <c r="S109" i="4034"/>
  <c r="R109" i="4034"/>
  <c r="Q109" i="4034"/>
  <c r="P109" i="4034"/>
  <c r="O109" i="4034"/>
  <c r="N109" i="4034"/>
  <c r="M109" i="4034"/>
  <c r="L109" i="4034"/>
  <c r="K109" i="4034"/>
  <c r="J109" i="4034"/>
  <c r="I109" i="4034"/>
  <c r="H109" i="4034"/>
  <c r="G109" i="4034"/>
  <c r="F109" i="4034"/>
  <c r="E109" i="4034"/>
  <c r="AE124" i="4034"/>
  <c r="D108" i="4034"/>
  <c r="AR125" i="4034"/>
  <c r="AQ125" i="4034"/>
  <c r="AP125" i="4034"/>
  <c r="AO125" i="4034"/>
  <c r="AN125" i="4034"/>
  <c r="AM125" i="4034"/>
  <c r="AL125" i="4034"/>
  <c r="AK125" i="4034"/>
  <c r="AJ125" i="4034"/>
  <c r="AI125" i="4034"/>
  <c r="AH125" i="4034"/>
  <c r="AG125" i="4034"/>
  <c r="AF125" i="4034"/>
  <c r="AE125" i="4034"/>
  <c r="AD125" i="4034"/>
  <c r="AC125" i="4034"/>
  <c r="AB125" i="4034"/>
  <c r="AA125" i="4034"/>
  <c r="Z125" i="4034"/>
  <c r="Y125" i="4034"/>
  <c r="X125" i="4034"/>
  <c r="W125" i="4034"/>
  <c r="V125" i="4034"/>
  <c r="U125" i="4034"/>
  <c r="T125" i="4034"/>
  <c r="S125" i="4034"/>
  <c r="R125" i="4034"/>
  <c r="Q125" i="4034"/>
  <c r="P125" i="4034"/>
  <c r="O125" i="4034"/>
  <c r="N125" i="4034"/>
  <c r="M125" i="4034"/>
  <c r="L125" i="4034"/>
  <c r="K125" i="4034"/>
  <c r="J125" i="4034"/>
  <c r="I125" i="4034"/>
  <c r="H125" i="4034"/>
  <c r="G125" i="4034"/>
  <c r="F125" i="4034"/>
  <c r="D107" i="4034"/>
  <c r="E106" i="4034"/>
  <c r="F106" i="4034" s="1"/>
  <c r="G106" i="4034" s="1"/>
  <c r="H106" i="4034" s="1"/>
  <c r="I106" i="4034" s="1"/>
  <c r="J106" i="4034" s="1"/>
  <c r="K106" i="4034" s="1"/>
  <c r="L106" i="4034" s="1"/>
  <c r="M106" i="4034" s="1"/>
  <c r="N106" i="4034" s="1"/>
  <c r="O106" i="4034" s="1"/>
  <c r="P106" i="4034" s="1"/>
  <c r="Q106" i="4034" s="1"/>
  <c r="R106" i="4034" s="1"/>
  <c r="S106" i="4034" s="1"/>
  <c r="T106" i="4034" s="1"/>
  <c r="U106" i="4034" s="1"/>
  <c r="V106" i="4034" s="1"/>
  <c r="W106" i="4034" s="1"/>
  <c r="X106" i="4034" s="1"/>
  <c r="Y106" i="4034" s="1"/>
  <c r="Z106" i="4034" s="1"/>
  <c r="AA106" i="4034" s="1"/>
  <c r="AB106" i="4034" s="1"/>
  <c r="AC106" i="4034" s="1"/>
  <c r="AD106" i="4034" s="1"/>
  <c r="AE106" i="4034" s="1"/>
  <c r="AF106" i="4034" s="1"/>
  <c r="AG106" i="4034" s="1"/>
  <c r="AH106" i="4034" s="1"/>
  <c r="AI106" i="4034" s="1"/>
  <c r="AJ106" i="4034" s="1"/>
  <c r="AK106" i="4034" s="1"/>
  <c r="AL106" i="4034" s="1"/>
  <c r="AM106" i="4034" s="1"/>
  <c r="AN106" i="4034" s="1"/>
  <c r="AO106" i="4034" s="1"/>
  <c r="AP106" i="4034" s="1"/>
  <c r="AQ106" i="4034" s="1"/>
  <c r="AR106" i="4034" s="1"/>
  <c r="D85" i="4034"/>
  <c r="D84" i="4034"/>
  <c r="D70" i="4034"/>
  <c r="D65" i="4034"/>
  <c r="D64" i="4034"/>
  <c r="D63" i="4034"/>
  <c r="C60" i="4034"/>
  <c r="D59" i="4034"/>
  <c r="C58" i="4034"/>
  <c r="D57" i="4034"/>
  <c r="C56" i="4034"/>
  <c r="D55" i="4034"/>
  <c r="C53" i="4034"/>
  <c r="D49" i="4034"/>
  <c r="C49" i="4034"/>
  <c r="D48" i="4034"/>
  <c r="E47" i="4034"/>
  <c r="D47" i="4034"/>
  <c r="E46" i="4034"/>
  <c r="D46" i="4034"/>
  <c r="E45" i="4034"/>
  <c r="D45" i="4034"/>
  <c r="C44" i="4034"/>
  <c r="C152" i="4034"/>
  <c r="D113" i="4034" s="1"/>
  <c r="D146" i="4034" s="1"/>
  <c r="C35" i="4034"/>
  <c r="C33" i="4034"/>
  <c r="C27" i="4034"/>
  <c r="C25" i="4034"/>
  <c r="E13" i="4034"/>
  <c r="D13" i="4034"/>
  <c r="E12" i="4034"/>
  <c r="C8" i="4034"/>
  <c r="D43" i="4034" s="1"/>
  <c r="D5" i="4034"/>
  <c r="C154" i="4033"/>
  <c r="D151" i="4033"/>
  <c r="AR147" i="4033"/>
  <c r="AQ147" i="4033"/>
  <c r="AP147" i="4033"/>
  <c r="AO147" i="4033"/>
  <c r="AN147" i="4033"/>
  <c r="AM147" i="4033"/>
  <c r="AL147" i="4033"/>
  <c r="AK147" i="4033"/>
  <c r="AJ147" i="4033"/>
  <c r="AI147" i="4033"/>
  <c r="AH147" i="4033"/>
  <c r="AG147" i="4033"/>
  <c r="AF147" i="4033"/>
  <c r="AE147" i="4033"/>
  <c r="AD147" i="4033"/>
  <c r="AC147" i="4033"/>
  <c r="AB147" i="4033"/>
  <c r="AA147" i="4033"/>
  <c r="Z147" i="4033"/>
  <c r="Y147" i="4033"/>
  <c r="X147" i="4033"/>
  <c r="W147" i="4033"/>
  <c r="V147" i="4033"/>
  <c r="U147" i="4033"/>
  <c r="T147" i="4033"/>
  <c r="AR145" i="4033"/>
  <c r="AQ145" i="4033"/>
  <c r="AP145" i="4033"/>
  <c r="AO145" i="4033"/>
  <c r="AN145" i="4033"/>
  <c r="AM145" i="4033"/>
  <c r="AL145" i="4033"/>
  <c r="AK145" i="4033"/>
  <c r="AJ145" i="4033"/>
  <c r="AI145" i="4033"/>
  <c r="AH145" i="4033"/>
  <c r="AG145" i="4033"/>
  <c r="AF145" i="4033"/>
  <c r="AE145" i="4033"/>
  <c r="AD145" i="4033"/>
  <c r="AC145" i="4033"/>
  <c r="AB145" i="4033"/>
  <c r="AA145" i="4033"/>
  <c r="Z145" i="4033"/>
  <c r="Y145" i="4033"/>
  <c r="X145" i="4033"/>
  <c r="W145" i="4033"/>
  <c r="V145" i="4033"/>
  <c r="U145" i="4033"/>
  <c r="T145" i="4033"/>
  <c r="C145" i="4033"/>
  <c r="AR136" i="4033"/>
  <c r="AQ136" i="4033"/>
  <c r="AP136" i="4033"/>
  <c r="AO136" i="4033"/>
  <c r="AN136" i="4033"/>
  <c r="AM136" i="4033"/>
  <c r="AL136" i="4033"/>
  <c r="AK136" i="4033"/>
  <c r="AJ136" i="4033"/>
  <c r="AI136" i="4033"/>
  <c r="AH136" i="4033"/>
  <c r="AG136" i="4033"/>
  <c r="AF136" i="4033"/>
  <c r="AE136" i="4033"/>
  <c r="AD136" i="4033"/>
  <c r="AC136" i="4033"/>
  <c r="AB136" i="4033"/>
  <c r="AA136" i="4033"/>
  <c r="Z136" i="4033"/>
  <c r="Y136" i="4033"/>
  <c r="X136" i="4033"/>
  <c r="W136" i="4033"/>
  <c r="V136" i="4033"/>
  <c r="U136" i="4033"/>
  <c r="T136" i="4033"/>
  <c r="AR135" i="4033"/>
  <c r="AQ135" i="4033"/>
  <c r="AP135" i="4033"/>
  <c r="AO135" i="4033"/>
  <c r="AN135" i="4033"/>
  <c r="AM135" i="4033"/>
  <c r="AL135" i="4033"/>
  <c r="AK135" i="4033"/>
  <c r="AJ135" i="4033"/>
  <c r="AI135" i="4033"/>
  <c r="AH135" i="4033"/>
  <c r="AG135" i="4033"/>
  <c r="AF135" i="4033"/>
  <c r="AE135" i="4033"/>
  <c r="AD135" i="4033"/>
  <c r="AC135" i="4033"/>
  <c r="AB135" i="4033"/>
  <c r="AA135" i="4033"/>
  <c r="Z135" i="4033"/>
  <c r="Y135" i="4033"/>
  <c r="X135" i="4033"/>
  <c r="W135" i="4033"/>
  <c r="V135" i="4033"/>
  <c r="U135" i="4033"/>
  <c r="T135" i="4033"/>
  <c r="AR134" i="4033"/>
  <c r="AQ134" i="4033"/>
  <c r="AP134" i="4033"/>
  <c r="AO134" i="4033"/>
  <c r="AN134" i="4033"/>
  <c r="AM134" i="4033"/>
  <c r="AL134" i="4033"/>
  <c r="AK134" i="4033"/>
  <c r="AJ134" i="4033"/>
  <c r="AI134" i="4033"/>
  <c r="AH134" i="4033"/>
  <c r="AG134" i="4033"/>
  <c r="AF134" i="4033"/>
  <c r="AE134" i="4033"/>
  <c r="AD134" i="4033"/>
  <c r="AC134" i="4033"/>
  <c r="AB134" i="4033"/>
  <c r="AA134" i="4033"/>
  <c r="Z134" i="4033"/>
  <c r="Y134" i="4033"/>
  <c r="X134" i="4033"/>
  <c r="W134" i="4033"/>
  <c r="V134" i="4033"/>
  <c r="U134" i="4033"/>
  <c r="T134" i="4033"/>
  <c r="E125" i="4033"/>
  <c r="C125" i="4033"/>
  <c r="E124" i="4033"/>
  <c r="C124" i="4033"/>
  <c r="AR123" i="4033"/>
  <c r="AQ123" i="4033"/>
  <c r="AP123" i="4033"/>
  <c r="AO123" i="4033"/>
  <c r="AN123" i="4033"/>
  <c r="AM123" i="4033"/>
  <c r="AL123" i="4033"/>
  <c r="AK123" i="4033"/>
  <c r="AJ123" i="4033"/>
  <c r="AI123" i="4033"/>
  <c r="AH123" i="4033"/>
  <c r="AG123" i="4033"/>
  <c r="AF123" i="4033"/>
  <c r="AE123" i="4033"/>
  <c r="AD123" i="4033"/>
  <c r="AC123" i="4033"/>
  <c r="AB123" i="4033"/>
  <c r="AA123" i="4033"/>
  <c r="Z123" i="4033"/>
  <c r="Y123" i="4033"/>
  <c r="X123" i="4033"/>
  <c r="W123" i="4033"/>
  <c r="V123" i="4033"/>
  <c r="U123" i="4033"/>
  <c r="T123" i="4033"/>
  <c r="S123" i="4033"/>
  <c r="R123" i="4033"/>
  <c r="Q123" i="4033"/>
  <c r="P123" i="4033"/>
  <c r="O123" i="4033"/>
  <c r="N123" i="4033"/>
  <c r="M123" i="4033"/>
  <c r="L123" i="4033"/>
  <c r="K123" i="4033"/>
  <c r="J123" i="4033"/>
  <c r="I123" i="4033"/>
  <c r="H123" i="4033"/>
  <c r="G123" i="4033"/>
  <c r="F123" i="4033"/>
  <c r="E123" i="4033"/>
  <c r="AR122" i="4033"/>
  <c r="AQ122" i="4033"/>
  <c r="AP122" i="4033"/>
  <c r="AO122" i="4033"/>
  <c r="AN122" i="4033"/>
  <c r="AM122" i="4033"/>
  <c r="AL122" i="4033"/>
  <c r="AK122" i="4033"/>
  <c r="AJ122" i="4033"/>
  <c r="AI122" i="4033"/>
  <c r="AH122" i="4033"/>
  <c r="AG122" i="4033"/>
  <c r="AF122" i="4033"/>
  <c r="AE122" i="4033"/>
  <c r="AD122" i="4033"/>
  <c r="AC122" i="4033"/>
  <c r="AB122" i="4033"/>
  <c r="AA122" i="4033"/>
  <c r="Z122" i="4033"/>
  <c r="Y122" i="4033"/>
  <c r="S122" i="4033"/>
  <c r="R122" i="4033"/>
  <c r="Q122" i="4033"/>
  <c r="P122" i="4033"/>
  <c r="O122" i="4033"/>
  <c r="N122" i="4033"/>
  <c r="M122" i="4033"/>
  <c r="L122" i="4033"/>
  <c r="K122" i="4033"/>
  <c r="J122" i="4033"/>
  <c r="I122" i="4033"/>
  <c r="H122" i="4033"/>
  <c r="G122" i="4033"/>
  <c r="F122" i="4033"/>
  <c r="E122" i="4033"/>
  <c r="AR121" i="4033"/>
  <c r="AQ121" i="4033"/>
  <c r="AP121" i="4033"/>
  <c r="AO121" i="4033"/>
  <c r="AN121" i="4033"/>
  <c r="AM121" i="4033"/>
  <c r="AL121" i="4033"/>
  <c r="AL131" i="4033" s="1"/>
  <c r="AK121" i="4033"/>
  <c r="AJ121" i="4033"/>
  <c r="AI121" i="4033"/>
  <c r="AH121" i="4033"/>
  <c r="AG121" i="4033"/>
  <c r="AF121" i="4033"/>
  <c r="AE121" i="4033"/>
  <c r="AD121" i="4033"/>
  <c r="AC121" i="4033"/>
  <c r="AB121" i="4033"/>
  <c r="AA121" i="4033"/>
  <c r="Z121" i="4033"/>
  <c r="Z131" i="4033" s="1"/>
  <c r="Y121" i="4033"/>
  <c r="X121" i="4033"/>
  <c r="W121" i="4033"/>
  <c r="V121" i="4033"/>
  <c r="U121" i="4033"/>
  <c r="T121" i="4033"/>
  <c r="S121" i="4033"/>
  <c r="R121" i="4033"/>
  <c r="Q121" i="4033"/>
  <c r="P121" i="4033"/>
  <c r="O121" i="4033"/>
  <c r="N121" i="4033"/>
  <c r="M121" i="4033"/>
  <c r="L121" i="4033"/>
  <c r="K121" i="4033"/>
  <c r="J121" i="4033"/>
  <c r="I121" i="4033"/>
  <c r="H121" i="4033"/>
  <c r="G121" i="4033"/>
  <c r="F121" i="4033"/>
  <c r="E121" i="4033"/>
  <c r="C118" i="4033"/>
  <c r="AR117" i="4033"/>
  <c r="AQ117" i="4033"/>
  <c r="AP117" i="4033"/>
  <c r="AO117" i="4033"/>
  <c r="AN117" i="4033"/>
  <c r="AM117" i="4033"/>
  <c r="AL117" i="4033"/>
  <c r="AK117" i="4033"/>
  <c r="AJ117" i="4033"/>
  <c r="AI117" i="4033"/>
  <c r="AH117" i="4033"/>
  <c r="AG117" i="4033"/>
  <c r="AF117" i="4033"/>
  <c r="AE117" i="4033"/>
  <c r="AD117" i="4033"/>
  <c r="AC117" i="4033"/>
  <c r="AB117" i="4033"/>
  <c r="AA117" i="4033"/>
  <c r="Z117" i="4033"/>
  <c r="Y117" i="4033"/>
  <c r="X117" i="4033"/>
  <c r="W117" i="4033"/>
  <c r="V117" i="4033"/>
  <c r="U117" i="4033"/>
  <c r="T117" i="4033"/>
  <c r="S117" i="4033"/>
  <c r="R117" i="4033"/>
  <c r="Q117" i="4033"/>
  <c r="P117" i="4033"/>
  <c r="O117" i="4033"/>
  <c r="N117" i="4033"/>
  <c r="M117" i="4033"/>
  <c r="L117" i="4033"/>
  <c r="K117" i="4033"/>
  <c r="J117" i="4033"/>
  <c r="I117" i="4033"/>
  <c r="H117" i="4033"/>
  <c r="G117" i="4033"/>
  <c r="F117" i="4033"/>
  <c r="E117" i="4033"/>
  <c r="AR116" i="4033"/>
  <c r="AQ116" i="4033"/>
  <c r="AP116" i="4033"/>
  <c r="AO116" i="4033"/>
  <c r="AN116" i="4033"/>
  <c r="AM116" i="4033"/>
  <c r="AL116" i="4033"/>
  <c r="AK116" i="4033"/>
  <c r="AJ116" i="4033"/>
  <c r="AI116" i="4033"/>
  <c r="AH116" i="4033"/>
  <c r="AG116" i="4033"/>
  <c r="AF116" i="4033"/>
  <c r="AE116" i="4033"/>
  <c r="AD116" i="4033"/>
  <c r="AC116" i="4033"/>
  <c r="AB116" i="4033"/>
  <c r="AA116" i="4033"/>
  <c r="Z116" i="4033"/>
  <c r="Y116" i="4033"/>
  <c r="X116" i="4033"/>
  <c r="W116" i="4033"/>
  <c r="V116" i="4033"/>
  <c r="U116" i="4033"/>
  <c r="T116" i="4033"/>
  <c r="S116" i="4033"/>
  <c r="R116" i="4033"/>
  <c r="Q116" i="4033"/>
  <c r="P116" i="4033"/>
  <c r="O116" i="4033"/>
  <c r="N116" i="4033"/>
  <c r="M116" i="4033"/>
  <c r="L116" i="4033"/>
  <c r="K116" i="4033"/>
  <c r="J116" i="4033"/>
  <c r="I116" i="4033"/>
  <c r="H116" i="4033"/>
  <c r="G116" i="4033"/>
  <c r="F116" i="4033"/>
  <c r="E116" i="4033"/>
  <c r="C116" i="4033"/>
  <c r="C115" i="4033"/>
  <c r="AR109" i="4033"/>
  <c r="AR124" i="4033" s="1"/>
  <c r="AQ109" i="4033"/>
  <c r="AQ124" i="4033" s="1"/>
  <c r="AP109" i="4033"/>
  <c r="AP124" i="4033" s="1"/>
  <c r="AO109" i="4033"/>
  <c r="AO124" i="4033" s="1"/>
  <c r="AN109" i="4033"/>
  <c r="AN124" i="4033" s="1"/>
  <c r="AM109" i="4033"/>
  <c r="AM124" i="4033" s="1"/>
  <c r="AL109" i="4033"/>
  <c r="AL124" i="4033" s="1"/>
  <c r="AK109" i="4033"/>
  <c r="AK124" i="4033" s="1"/>
  <c r="AJ109" i="4033"/>
  <c r="AJ124" i="4033" s="1"/>
  <c r="AI109" i="4033"/>
  <c r="AI124" i="4033" s="1"/>
  <c r="AH109" i="4033"/>
  <c r="AH124" i="4033" s="1"/>
  <c r="AG109" i="4033"/>
  <c r="AG124" i="4033" s="1"/>
  <c r="AF109" i="4033"/>
  <c r="AF124" i="4033" s="1"/>
  <c r="AE109" i="4033"/>
  <c r="AE124" i="4033" s="1"/>
  <c r="AD109" i="4033"/>
  <c r="AD124" i="4033" s="1"/>
  <c r="AC109" i="4033"/>
  <c r="AC124" i="4033" s="1"/>
  <c r="AB109" i="4033"/>
  <c r="AB124" i="4033" s="1"/>
  <c r="AA109" i="4033"/>
  <c r="AA124" i="4033" s="1"/>
  <c r="Z109" i="4033"/>
  <c r="Z124" i="4033" s="1"/>
  <c r="Y109" i="4033"/>
  <c r="Y124" i="4033" s="1"/>
  <c r="X109" i="4033"/>
  <c r="W109" i="4033"/>
  <c r="V109" i="4033"/>
  <c r="U109" i="4033"/>
  <c r="T109" i="4033"/>
  <c r="S109" i="4033"/>
  <c r="R109" i="4033"/>
  <c r="Q109" i="4033"/>
  <c r="P109" i="4033"/>
  <c r="O109" i="4033"/>
  <c r="N109" i="4033"/>
  <c r="M109" i="4033"/>
  <c r="L109" i="4033"/>
  <c r="K109" i="4033"/>
  <c r="J109" i="4033"/>
  <c r="I109" i="4033"/>
  <c r="H109" i="4033"/>
  <c r="G109" i="4033"/>
  <c r="F109" i="4033"/>
  <c r="E109" i="4033"/>
  <c r="D108" i="4033"/>
  <c r="AR125" i="4033"/>
  <c r="AQ125" i="4033"/>
  <c r="AP125" i="4033"/>
  <c r="AO125" i="4033"/>
  <c r="AN125" i="4033"/>
  <c r="AM125" i="4033"/>
  <c r="AL125" i="4033"/>
  <c r="AK125" i="4033"/>
  <c r="AJ125" i="4033"/>
  <c r="AI125" i="4033"/>
  <c r="AH125" i="4033"/>
  <c r="AG125" i="4033"/>
  <c r="AF125" i="4033"/>
  <c r="AE125" i="4033"/>
  <c r="AD125" i="4033"/>
  <c r="AC125" i="4033"/>
  <c r="AB125" i="4033"/>
  <c r="AA125" i="4033"/>
  <c r="Z125" i="4033"/>
  <c r="Y125" i="4033"/>
  <c r="X125" i="4033"/>
  <c r="W125" i="4033"/>
  <c r="V125" i="4033"/>
  <c r="U125" i="4033"/>
  <c r="T125" i="4033"/>
  <c r="S125" i="4033"/>
  <c r="R125" i="4033"/>
  <c r="Q125" i="4033"/>
  <c r="P125" i="4033"/>
  <c r="O125" i="4033"/>
  <c r="N125" i="4033"/>
  <c r="M125" i="4033"/>
  <c r="L125" i="4033"/>
  <c r="K125" i="4033"/>
  <c r="J125" i="4033"/>
  <c r="I125" i="4033"/>
  <c r="H125" i="4033"/>
  <c r="G125" i="4033"/>
  <c r="F125" i="4033"/>
  <c r="D107" i="4033"/>
  <c r="E106" i="4033"/>
  <c r="F106" i="4033" s="1"/>
  <c r="G106" i="4033" s="1"/>
  <c r="H106" i="4033" s="1"/>
  <c r="I106" i="4033" s="1"/>
  <c r="J106" i="4033" s="1"/>
  <c r="K106" i="4033" s="1"/>
  <c r="L106" i="4033" s="1"/>
  <c r="M106" i="4033" s="1"/>
  <c r="N106" i="4033" s="1"/>
  <c r="O106" i="4033" s="1"/>
  <c r="P106" i="4033" s="1"/>
  <c r="Q106" i="4033" s="1"/>
  <c r="R106" i="4033" s="1"/>
  <c r="S106" i="4033" s="1"/>
  <c r="T106" i="4033" s="1"/>
  <c r="U106" i="4033" s="1"/>
  <c r="V106" i="4033" s="1"/>
  <c r="W106" i="4033" s="1"/>
  <c r="X106" i="4033" s="1"/>
  <c r="Y106" i="4033" s="1"/>
  <c r="Z106" i="4033" s="1"/>
  <c r="AA106" i="4033" s="1"/>
  <c r="AB106" i="4033" s="1"/>
  <c r="AC106" i="4033" s="1"/>
  <c r="AD106" i="4033" s="1"/>
  <c r="AE106" i="4033" s="1"/>
  <c r="AF106" i="4033" s="1"/>
  <c r="AG106" i="4033" s="1"/>
  <c r="AH106" i="4033" s="1"/>
  <c r="AI106" i="4033" s="1"/>
  <c r="AJ106" i="4033" s="1"/>
  <c r="AK106" i="4033" s="1"/>
  <c r="AL106" i="4033" s="1"/>
  <c r="AM106" i="4033" s="1"/>
  <c r="AN106" i="4033" s="1"/>
  <c r="AO106" i="4033" s="1"/>
  <c r="AP106" i="4033" s="1"/>
  <c r="AQ106" i="4033" s="1"/>
  <c r="AR106" i="4033" s="1"/>
  <c r="D85" i="4033"/>
  <c r="D84" i="4033"/>
  <c r="D70" i="4033"/>
  <c r="D65" i="4033"/>
  <c r="D64" i="4033"/>
  <c r="D63" i="4033"/>
  <c r="C60" i="4033"/>
  <c r="D59" i="4033"/>
  <c r="C58" i="4033"/>
  <c r="D57" i="4033"/>
  <c r="C56" i="4033"/>
  <c r="D55" i="4033"/>
  <c r="C53" i="4033"/>
  <c r="D49" i="4033"/>
  <c r="C49" i="4033"/>
  <c r="D48" i="4033"/>
  <c r="E47" i="4033"/>
  <c r="D47" i="4033"/>
  <c r="E46" i="4033"/>
  <c r="D46" i="4033"/>
  <c r="E45" i="4033"/>
  <c r="D45" i="4033"/>
  <c r="C44" i="4033"/>
  <c r="C152" i="4033"/>
  <c r="S134" i="4033" s="1"/>
  <c r="C35" i="4033"/>
  <c r="C33" i="4033"/>
  <c r="C27" i="4033"/>
  <c r="C25" i="4033"/>
  <c r="E13" i="4033"/>
  <c r="D13" i="4033"/>
  <c r="E12" i="4033"/>
  <c r="C8" i="4033"/>
  <c r="D43" i="4033" s="1"/>
  <c r="D5" i="4033"/>
  <c r="C154" i="4032"/>
  <c r="D151" i="4032"/>
  <c r="AR147" i="4032"/>
  <c r="AQ147" i="4032"/>
  <c r="AP147" i="4032"/>
  <c r="AO147" i="4032"/>
  <c r="AN147" i="4032"/>
  <c r="AM147" i="4032"/>
  <c r="AL147" i="4032"/>
  <c r="AK147" i="4032"/>
  <c r="AJ147" i="4032"/>
  <c r="AI147" i="4032"/>
  <c r="AH147" i="4032"/>
  <c r="AG147" i="4032"/>
  <c r="AF147" i="4032"/>
  <c r="AE147" i="4032"/>
  <c r="AD147" i="4032"/>
  <c r="AC147" i="4032"/>
  <c r="AB147" i="4032"/>
  <c r="AA147" i="4032"/>
  <c r="Z147" i="4032"/>
  <c r="Y147" i="4032"/>
  <c r="X147" i="4032"/>
  <c r="W147" i="4032"/>
  <c r="V147" i="4032"/>
  <c r="U147" i="4032"/>
  <c r="T147" i="4032"/>
  <c r="AR145" i="4032"/>
  <c r="AQ145" i="4032"/>
  <c r="AP145" i="4032"/>
  <c r="AO145" i="4032"/>
  <c r="AN145" i="4032"/>
  <c r="AM145" i="4032"/>
  <c r="AL145" i="4032"/>
  <c r="AK145" i="4032"/>
  <c r="AJ145" i="4032"/>
  <c r="AI145" i="4032"/>
  <c r="AH145" i="4032"/>
  <c r="AG145" i="4032"/>
  <c r="AF145" i="4032"/>
  <c r="AE145" i="4032"/>
  <c r="AD145" i="4032"/>
  <c r="AC145" i="4032"/>
  <c r="AB145" i="4032"/>
  <c r="AA145" i="4032"/>
  <c r="Z145" i="4032"/>
  <c r="Y145" i="4032"/>
  <c r="X145" i="4032"/>
  <c r="W145" i="4032"/>
  <c r="V145" i="4032"/>
  <c r="U145" i="4032"/>
  <c r="T145" i="4032"/>
  <c r="C145" i="4032"/>
  <c r="AR136" i="4032"/>
  <c r="AQ136" i="4032"/>
  <c r="AP136" i="4032"/>
  <c r="AO136" i="4032"/>
  <c r="AN136" i="4032"/>
  <c r="AM136" i="4032"/>
  <c r="AL136" i="4032"/>
  <c r="AK136" i="4032"/>
  <c r="AJ136" i="4032"/>
  <c r="AI136" i="4032"/>
  <c r="AH136" i="4032"/>
  <c r="AG136" i="4032"/>
  <c r="AF136" i="4032"/>
  <c r="AE136" i="4032"/>
  <c r="AD136" i="4032"/>
  <c r="AC136" i="4032"/>
  <c r="AB136" i="4032"/>
  <c r="AA136" i="4032"/>
  <c r="Z136" i="4032"/>
  <c r="Y136" i="4032"/>
  <c r="X136" i="4032"/>
  <c r="W136" i="4032"/>
  <c r="V136" i="4032"/>
  <c r="U136" i="4032"/>
  <c r="T136" i="4032"/>
  <c r="AR135" i="4032"/>
  <c r="AQ135" i="4032"/>
  <c r="AP135" i="4032"/>
  <c r="AO135" i="4032"/>
  <c r="AN135" i="4032"/>
  <c r="AM135" i="4032"/>
  <c r="AL135" i="4032"/>
  <c r="AK135" i="4032"/>
  <c r="AJ135" i="4032"/>
  <c r="AI135" i="4032"/>
  <c r="AH135" i="4032"/>
  <c r="AG135" i="4032"/>
  <c r="AF135" i="4032"/>
  <c r="AE135" i="4032"/>
  <c r="AD135" i="4032"/>
  <c r="AC135" i="4032"/>
  <c r="AB135" i="4032"/>
  <c r="AA135" i="4032"/>
  <c r="Z135" i="4032"/>
  <c r="Y135" i="4032"/>
  <c r="X135" i="4032"/>
  <c r="W135" i="4032"/>
  <c r="V135" i="4032"/>
  <c r="U135" i="4032"/>
  <c r="T135" i="4032"/>
  <c r="AR134" i="4032"/>
  <c r="AQ134" i="4032"/>
  <c r="AP134" i="4032"/>
  <c r="AO134" i="4032"/>
  <c r="AN134" i="4032"/>
  <c r="AM134" i="4032"/>
  <c r="AL134" i="4032"/>
  <c r="AK134" i="4032"/>
  <c r="AJ134" i="4032"/>
  <c r="AI134" i="4032"/>
  <c r="AH134" i="4032"/>
  <c r="AG134" i="4032"/>
  <c r="AF134" i="4032"/>
  <c r="AE134" i="4032"/>
  <c r="AD134" i="4032"/>
  <c r="AC134" i="4032"/>
  <c r="AB134" i="4032"/>
  <c r="AA134" i="4032"/>
  <c r="Z134" i="4032"/>
  <c r="Y134" i="4032"/>
  <c r="X134" i="4032"/>
  <c r="W134" i="4032"/>
  <c r="V134" i="4032"/>
  <c r="U134" i="4032"/>
  <c r="T134" i="4032"/>
  <c r="E125" i="4032"/>
  <c r="C125" i="4032"/>
  <c r="E124" i="4032"/>
  <c r="C124" i="4032"/>
  <c r="AR123" i="4032"/>
  <c r="AQ123" i="4032"/>
  <c r="AP123" i="4032"/>
  <c r="AO123" i="4032"/>
  <c r="AN123" i="4032"/>
  <c r="AM123" i="4032"/>
  <c r="AL123" i="4032"/>
  <c r="AK123" i="4032"/>
  <c r="AJ123" i="4032"/>
  <c r="AI123" i="4032"/>
  <c r="AH123" i="4032"/>
  <c r="AG123" i="4032"/>
  <c r="AF123" i="4032"/>
  <c r="AE123" i="4032"/>
  <c r="AD123" i="4032"/>
  <c r="AC123" i="4032"/>
  <c r="AB123" i="4032"/>
  <c r="AA123" i="4032"/>
  <c r="Z123" i="4032"/>
  <c r="Y123" i="4032"/>
  <c r="X123" i="4032"/>
  <c r="W123" i="4032"/>
  <c r="V123" i="4032"/>
  <c r="U123" i="4032"/>
  <c r="T123" i="4032"/>
  <c r="S123" i="4032"/>
  <c r="R123" i="4032"/>
  <c r="Q123" i="4032"/>
  <c r="P123" i="4032"/>
  <c r="O123" i="4032"/>
  <c r="N123" i="4032"/>
  <c r="M123" i="4032"/>
  <c r="L123" i="4032"/>
  <c r="K123" i="4032"/>
  <c r="J123" i="4032"/>
  <c r="I123" i="4032"/>
  <c r="H123" i="4032"/>
  <c r="G123" i="4032"/>
  <c r="F123" i="4032"/>
  <c r="E123" i="4032"/>
  <c r="AR122" i="4032"/>
  <c r="AQ122" i="4032"/>
  <c r="AP122" i="4032"/>
  <c r="AO122" i="4032"/>
  <c r="AN122" i="4032"/>
  <c r="AM122" i="4032"/>
  <c r="AL122" i="4032"/>
  <c r="AK122" i="4032"/>
  <c r="AJ122" i="4032"/>
  <c r="AI122" i="4032"/>
  <c r="AH122" i="4032"/>
  <c r="AG122" i="4032"/>
  <c r="AF122" i="4032"/>
  <c r="AE122" i="4032"/>
  <c r="AD122" i="4032"/>
  <c r="AC122" i="4032"/>
  <c r="AB122" i="4032"/>
  <c r="AA122" i="4032"/>
  <c r="Z122" i="4032"/>
  <c r="Y122" i="4032"/>
  <c r="S122" i="4032"/>
  <c r="R122" i="4032"/>
  <c r="Q122" i="4032"/>
  <c r="P122" i="4032"/>
  <c r="O122" i="4032"/>
  <c r="N122" i="4032"/>
  <c r="M122" i="4032"/>
  <c r="L122" i="4032"/>
  <c r="K122" i="4032"/>
  <c r="J122" i="4032"/>
  <c r="I122" i="4032"/>
  <c r="H122" i="4032"/>
  <c r="G122" i="4032"/>
  <c r="F122" i="4032"/>
  <c r="E122" i="4032"/>
  <c r="AR121" i="4032"/>
  <c r="AQ121" i="4032"/>
  <c r="AP121" i="4032"/>
  <c r="AO121" i="4032"/>
  <c r="AN121" i="4032"/>
  <c r="AM121" i="4032"/>
  <c r="AL121" i="4032"/>
  <c r="AL131" i="4032" s="1"/>
  <c r="AK121" i="4032"/>
  <c r="AK131" i="4032" s="1"/>
  <c r="AJ121" i="4032"/>
  <c r="AI121" i="4032"/>
  <c r="AH121" i="4032"/>
  <c r="AG121" i="4032"/>
  <c r="AF121" i="4032"/>
  <c r="AE121" i="4032"/>
  <c r="AD121" i="4032"/>
  <c r="AC121" i="4032"/>
  <c r="AB121" i="4032"/>
  <c r="AA121" i="4032"/>
  <c r="Z121" i="4032"/>
  <c r="Z131" i="4032" s="1"/>
  <c r="Y121" i="4032"/>
  <c r="Y131" i="4032" s="1"/>
  <c r="X121" i="4032"/>
  <c r="W121" i="4032"/>
  <c r="V121" i="4032"/>
  <c r="U121" i="4032"/>
  <c r="T121" i="4032"/>
  <c r="S121" i="4032"/>
  <c r="R121" i="4032"/>
  <c r="Q121" i="4032"/>
  <c r="P121" i="4032"/>
  <c r="O121" i="4032"/>
  <c r="N121" i="4032"/>
  <c r="M121" i="4032"/>
  <c r="L121" i="4032"/>
  <c r="K121" i="4032"/>
  <c r="J121" i="4032"/>
  <c r="I121" i="4032"/>
  <c r="H121" i="4032"/>
  <c r="G121" i="4032"/>
  <c r="F121" i="4032"/>
  <c r="E121" i="4032"/>
  <c r="C118" i="4032"/>
  <c r="AR117" i="4032"/>
  <c r="AQ117" i="4032"/>
  <c r="AP117" i="4032"/>
  <c r="AO117" i="4032"/>
  <c r="AN117" i="4032"/>
  <c r="AM117" i="4032"/>
  <c r="AL117" i="4032"/>
  <c r="AK117" i="4032"/>
  <c r="AJ117" i="4032"/>
  <c r="AI117" i="4032"/>
  <c r="AH117" i="4032"/>
  <c r="AG117" i="4032"/>
  <c r="AF117" i="4032"/>
  <c r="AE117" i="4032"/>
  <c r="AD117" i="4032"/>
  <c r="AC117" i="4032"/>
  <c r="AB117" i="4032"/>
  <c r="AA117" i="4032"/>
  <c r="Z117" i="4032"/>
  <c r="Y117" i="4032"/>
  <c r="X117" i="4032"/>
  <c r="W117" i="4032"/>
  <c r="V117" i="4032"/>
  <c r="U117" i="4032"/>
  <c r="T117" i="4032"/>
  <c r="S117" i="4032"/>
  <c r="R117" i="4032"/>
  <c r="Q117" i="4032"/>
  <c r="P117" i="4032"/>
  <c r="O117" i="4032"/>
  <c r="N117" i="4032"/>
  <c r="M117" i="4032"/>
  <c r="L117" i="4032"/>
  <c r="K117" i="4032"/>
  <c r="J117" i="4032"/>
  <c r="I117" i="4032"/>
  <c r="H117" i="4032"/>
  <c r="G117" i="4032"/>
  <c r="F117" i="4032"/>
  <c r="E117" i="4032"/>
  <c r="AR116" i="4032"/>
  <c r="AQ116" i="4032"/>
  <c r="AP116" i="4032"/>
  <c r="AO116" i="4032"/>
  <c r="AN116" i="4032"/>
  <c r="AM116" i="4032"/>
  <c r="AL116" i="4032"/>
  <c r="AK116" i="4032"/>
  <c r="AJ116" i="4032"/>
  <c r="AI116" i="4032"/>
  <c r="AH116" i="4032"/>
  <c r="AG116" i="4032"/>
  <c r="AF116" i="4032"/>
  <c r="AE116" i="4032"/>
  <c r="AD116" i="4032"/>
  <c r="AC116" i="4032"/>
  <c r="AB116" i="4032"/>
  <c r="AA116" i="4032"/>
  <c r="Z116" i="4032"/>
  <c r="Y116" i="4032"/>
  <c r="X116" i="4032"/>
  <c r="W116" i="4032"/>
  <c r="V116" i="4032"/>
  <c r="U116" i="4032"/>
  <c r="T116" i="4032"/>
  <c r="S116" i="4032"/>
  <c r="R116" i="4032"/>
  <c r="Q116" i="4032"/>
  <c r="P116" i="4032"/>
  <c r="O116" i="4032"/>
  <c r="N116" i="4032"/>
  <c r="M116" i="4032"/>
  <c r="L116" i="4032"/>
  <c r="K116" i="4032"/>
  <c r="J116" i="4032"/>
  <c r="I116" i="4032"/>
  <c r="H116" i="4032"/>
  <c r="G116" i="4032"/>
  <c r="F116" i="4032"/>
  <c r="E116" i="4032"/>
  <c r="C116" i="4032"/>
  <c r="C115" i="4032"/>
  <c r="AR109" i="4032"/>
  <c r="AR124" i="4032" s="1"/>
  <c r="AQ109" i="4032"/>
  <c r="AQ124" i="4032" s="1"/>
  <c r="AP109" i="4032"/>
  <c r="AP124" i="4032" s="1"/>
  <c r="AO109" i="4032"/>
  <c r="AO124" i="4032" s="1"/>
  <c r="AN109" i="4032"/>
  <c r="AN124" i="4032" s="1"/>
  <c r="AM109" i="4032"/>
  <c r="AL109" i="4032"/>
  <c r="AL124" i="4032" s="1"/>
  <c r="AK109" i="4032"/>
  <c r="AK124" i="4032" s="1"/>
  <c r="AJ109" i="4032"/>
  <c r="AI109" i="4032"/>
  <c r="AI124" i="4032" s="1"/>
  <c r="AH109" i="4032"/>
  <c r="AH124" i="4032" s="1"/>
  <c r="AG109" i="4032"/>
  <c r="AG124" i="4032" s="1"/>
  <c r="AF109" i="4032"/>
  <c r="AF124" i="4032" s="1"/>
  <c r="AE109" i="4032"/>
  <c r="AE124" i="4032" s="1"/>
  <c r="AD109" i="4032"/>
  <c r="AD124" i="4032" s="1"/>
  <c r="AC109" i="4032"/>
  <c r="AC124" i="4032" s="1"/>
  <c r="AB109" i="4032"/>
  <c r="AB124" i="4032" s="1"/>
  <c r="AA109" i="4032"/>
  <c r="AA124" i="4032" s="1"/>
  <c r="Z109" i="4032"/>
  <c r="Z124" i="4032" s="1"/>
  <c r="Y109" i="4032"/>
  <c r="Y124" i="4032" s="1"/>
  <c r="X109" i="4032"/>
  <c r="W109" i="4032"/>
  <c r="V109" i="4032"/>
  <c r="U109" i="4032"/>
  <c r="T109" i="4032"/>
  <c r="S109" i="4032"/>
  <c r="R109" i="4032"/>
  <c r="Q109" i="4032"/>
  <c r="P109" i="4032"/>
  <c r="O109" i="4032"/>
  <c r="N109" i="4032"/>
  <c r="M109" i="4032"/>
  <c r="L109" i="4032"/>
  <c r="K109" i="4032"/>
  <c r="J109" i="4032"/>
  <c r="I109" i="4032"/>
  <c r="H109" i="4032"/>
  <c r="G109" i="4032"/>
  <c r="F109" i="4032"/>
  <c r="E109" i="4032"/>
  <c r="AM124" i="4032"/>
  <c r="AJ124" i="4032"/>
  <c r="D108" i="4032"/>
  <c r="AR125" i="4032"/>
  <c r="AQ125" i="4032"/>
  <c r="AP125" i="4032"/>
  <c r="AO125" i="4032"/>
  <c r="AN125" i="4032"/>
  <c r="AM125" i="4032"/>
  <c r="AL125" i="4032"/>
  <c r="AK125" i="4032"/>
  <c r="AJ125" i="4032"/>
  <c r="AI125" i="4032"/>
  <c r="AH125" i="4032"/>
  <c r="AG125" i="4032"/>
  <c r="AF125" i="4032"/>
  <c r="AE125" i="4032"/>
  <c r="AD125" i="4032"/>
  <c r="AC125" i="4032"/>
  <c r="AB125" i="4032"/>
  <c r="AA125" i="4032"/>
  <c r="Z125" i="4032"/>
  <c r="Y125" i="4032"/>
  <c r="X125" i="4032"/>
  <c r="W125" i="4032"/>
  <c r="V125" i="4032"/>
  <c r="U125" i="4032"/>
  <c r="T125" i="4032"/>
  <c r="S125" i="4032"/>
  <c r="R125" i="4032"/>
  <c r="Q125" i="4032"/>
  <c r="P125" i="4032"/>
  <c r="O125" i="4032"/>
  <c r="N125" i="4032"/>
  <c r="M125" i="4032"/>
  <c r="L125" i="4032"/>
  <c r="K125" i="4032"/>
  <c r="J125" i="4032"/>
  <c r="I125" i="4032"/>
  <c r="H125" i="4032"/>
  <c r="G125" i="4032"/>
  <c r="F125" i="4032"/>
  <c r="D107" i="4032"/>
  <c r="E106" i="4032"/>
  <c r="E102" i="4032" s="1"/>
  <c r="D85" i="4032"/>
  <c r="D84" i="4032"/>
  <c r="D70" i="4032"/>
  <c r="D65" i="4032"/>
  <c r="D64" i="4032"/>
  <c r="D63" i="4032"/>
  <c r="C60" i="4032"/>
  <c r="D59" i="4032"/>
  <c r="C58" i="4032"/>
  <c r="D57" i="4032"/>
  <c r="C56" i="4032"/>
  <c r="D55" i="4032"/>
  <c r="C53" i="4032"/>
  <c r="D49" i="4032"/>
  <c r="C49" i="4032"/>
  <c r="D48" i="4032"/>
  <c r="E47" i="4032"/>
  <c r="D47" i="4032"/>
  <c r="E46" i="4032"/>
  <c r="D46" i="4032"/>
  <c r="E45" i="4032"/>
  <c r="D45" i="4032"/>
  <c r="C44" i="4032"/>
  <c r="C152" i="4032"/>
  <c r="O134" i="4032" s="1"/>
  <c r="C35" i="4032"/>
  <c r="C33" i="4032"/>
  <c r="C27" i="4032"/>
  <c r="C25" i="4032"/>
  <c r="E13" i="4032"/>
  <c r="D13" i="4032"/>
  <c r="E12" i="4032"/>
  <c r="C8" i="4032"/>
  <c r="D43" i="4032" s="1"/>
  <c r="D5" i="4032"/>
  <c r="C154" i="4031"/>
  <c r="D151" i="4031"/>
  <c r="AR147" i="4031"/>
  <c r="AQ147" i="4031"/>
  <c r="AP147" i="4031"/>
  <c r="AO147" i="4031"/>
  <c r="AN147" i="4031"/>
  <c r="AM147" i="4031"/>
  <c r="AL147" i="4031"/>
  <c r="AK147" i="4031"/>
  <c r="AJ147" i="4031"/>
  <c r="AI147" i="4031"/>
  <c r="AH147" i="4031"/>
  <c r="AG147" i="4031"/>
  <c r="AF147" i="4031"/>
  <c r="AE147" i="4031"/>
  <c r="AD147" i="4031"/>
  <c r="AC147" i="4031"/>
  <c r="AB147" i="4031"/>
  <c r="AA147" i="4031"/>
  <c r="Z147" i="4031"/>
  <c r="Y147" i="4031"/>
  <c r="X147" i="4031"/>
  <c r="W147" i="4031"/>
  <c r="V147" i="4031"/>
  <c r="U147" i="4031"/>
  <c r="T147" i="4031"/>
  <c r="AR145" i="4031"/>
  <c r="AQ145" i="4031"/>
  <c r="AP145" i="4031"/>
  <c r="AO145" i="4031"/>
  <c r="AN145" i="4031"/>
  <c r="AM145" i="4031"/>
  <c r="AL145" i="4031"/>
  <c r="AK145" i="4031"/>
  <c r="AJ145" i="4031"/>
  <c r="AI145" i="4031"/>
  <c r="AH145" i="4031"/>
  <c r="AG145" i="4031"/>
  <c r="AF145" i="4031"/>
  <c r="AE145" i="4031"/>
  <c r="AD145" i="4031"/>
  <c r="AC145" i="4031"/>
  <c r="AB145" i="4031"/>
  <c r="AA145" i="4031"/>
  <c r="Z145" i="4031"/>
  <c r="Y145" i="4031"/>
  <c r="X145" i="4031"/>
  <c r="W145" i="4031"/>
  <c r="V145" i="4031"/>
  <c r="U145" i="4031"/>
  <c r="T145" i="4031"/>
  <c r="C145" i="4031"/>
  <c r="AR136" i="4031"/>
  <c r="AQ136" i="4031"/>
  <c r="AP136" i="4031"/>
  <c r="AO136" i="4031"/>
  <c r="AN136" i="4031"/>
  <c r="AM136" i="4031"/>
  <c r="AL136" i="4031"/>
  <c r="AK136" i="4031"/>
  <c r="AJ136" i="4031"/>
  <c r="AI136" i="4031"/>
  <c r="AH136" i="4031"/>
  <c r="AG136" i="4031"/>
  <c r="AF136" i="4031"/>
  <c r="AE136" i="4031"/>
  <c r="AD136" i="4031"/>
  <c r="AC136" i="4031"/>
  <c r="AB136" i="4031"/>
  <c r="AA136" i="4031"/>
  <c r="Z136" i="4031"/>
  <c r="Y136" i="4031"/>
  <c r="X136" i="4031"/>
  <c r="W136" i="4031"/>
  <c r="V136" i="4031"/>
  <c r="U136" i="4031"/>
  <c r="T136" i="4031"/>
  <c r="AR135" i="4031"/>
  <c r="AQ135" i="4031"/>
  <c r="AP135" i="4031"/>
  <c r="AO135" i="4031"/>
  <c r="AN135" i="4031"/>
  <c r="AM135" i="4031"/>
  <c r="AL135" i="4031"/>
  <c r="AK135" i="4031"/>
  <c r="AJ135" i="4031"/>
  <c r="AI135" i="4031"/>
  <c r="AH135" i="4031"/>
  <c r="AG135" i="4031"/>
  <c r="AF135" i="4031"/>
  <c r="AE135" i="4031"/>
  <c r="AD135" i="4031"/>
  <c r="AC135" i="4031"/>
  <c r="AB135" i="4031"/>
  <c r="AA135" i="4031"/>
  <c r="Z135" i="4031"/>
  <c r="Y135" i="4031"/>
  <c r="X135" i="4031"/>
  <c r="W135" i="4031"/>
  <c r="V135" i="4031"/>
  <c r="U135" i="4031"/>
  <c r="T135" i="4031"/>
  <c r="AR134" i="4031"/>
  <c r="AQ134" i="4031"/>
  <c r="AP134" i="4031"/>
  <c r="AO134" i="4031"/>
  <c r="AN134" i="4031"/>
  <c r="AM134" i="4031"/>
  <c r="AL134" i="4031"/>
  <c r="AK134" i="4031"/>
  <c r="AJ134" i="4031"/>
  <c r="AI134" i="4031"/>
  <c r="AH134" i="4031"/>
  <c r="AG134" i="4031"/>
  <c r="AF134" i="4031"/>
  <c r="AE134" i="4031"/>
  <c r="AD134" i="4031"/>
  <c r="AC134" i="4031"/>
  <c r="AB134" i="4031"/>
  <c r="AA134" i="4031"/>
  <c r="Z134" i="4031"/>
  <c r="Y134" i="4031"/>
  <c r="X134" i="4031"/>
  <c r="W134" i="4031"/>
  <c r="V134" i="4031"/>
  <c r="U134" i="4031"/>
  <c r="T134" i="4031"/>
  <c r="E125" i="4031"/>
  <c r="C125" i="4031"/>
  <c r="E124" i="4031"/>
  <c r="C124" i="4031"/>
  <c r="AR123" i="4031"/>
  <c r="AQ123" i="4031"/>
  <c r="AP123" i="4031"/>
  <c r="AO123" i="4031"/>
  <c r="AN123" i="4031"/>
  <c r="AM123" i="4031"/>
  <c r="AL123" i="4031"/>
  <c r="AK123" i="4031"/>
  <c r="AJ123" i="4031"/>
  <c r="AI123" i="4031"/>
  <c r="AH123" i="4031"/>
  <c r="AG123" i="4031"/>
  <c r="AF123" i="4031"/>
  <c r="AE123" i="4031"/>
  <c r="AD123" i="4031"/>
  <c r="AC123" i="4031"/>
  <c r="AB123" i="4031"/>
  <c r="AA123" i="4031"/>
  <c r="Z123" i="4031"/>
  <c r="Y123" i="4031"/>
  <c r="X123" i="4031"/>
  <c r="W123" i="4031"/>
  <c r="V123" i="4031"/>
  <c r="U123" i="4031"/>
  <c r="T123" i="4031"/>
  <c r="S123" i="4031"/>
  <c r="R123" i="4031"/>
  <c r="Q123" i="4031"/>
  <c r="P123" i="4031"/>
  <c r="O123" i="4031"/>
  <c r="N123" i="4031"/>
  <c r="M123" i="4031"/>
  <c r="L123" i="4031"/>
  <c r="K123" i="4031"/>
  <c r="J123" i="4031"/>
  <c r="I123" i="4031"/>
  <c r="H123" i="4031"/>
  <c r="G123" i="4031"/>
  <c r="F123" i="4031"/>
  <c r="E123" i="4031"/>
  <c r="AR122" i="4031"/>
  <c r="AQ122" i="4031"/>
  <c r="AP122" i="4031"/>
  <c r="AO122" i="4031"/>
  <c r="AN122" i="4031"/>
  <c r="AM122" i="4031"/>
  <c r="AL122" i="4031"/>
  <c r="AK122" i="4031"/>
  <c r="AJ122" i="4031"/>
  <c r="AI122" i="4031"/>
  <c r="AH122" i="4031"/>
  <c r="AG122" i="4031"/>
  <c r="AF122" i="4031"/>
  <c r="AE122" i="4031"/>
  <c r="AD122" i="4031"/>
  <c r="AC122" i="4031"/>
  <c r="AB122" i="4031"/>
  <c r="AA122" i="4031"/>
  <c r="Z122" i="4031"/>
  <c r="Y122" i="4031"/>
  <c r="S122" i="4031"/>
  <c r="R122" i="4031"/>
  <c r="Q122" i="4031"/>
  <c r="P122" i="4031"/>
  <c r="O122" i="4031"/>
  <c r="N122" i="4031"/>
  <c r="M122" i="4031"/>
  <c r="L122" i="4031"/>
  <c r="K122" i="4031"/>
  <c r="J122" i="4031"/>
  <c r="I122" i="4031"/>
  <c r="H122" i="4031"/>
  <c r="G122" i="4031"/>
  <c r="F122" i="4031"/>
  <c r="E122" i="4031"/>
  <c r="AR121" i="4031"/>
  <c r="AQ121" i="4031"/>
  <c r="AP121" i="4031"/>
  <c r="AO121" i="4031"/>
  <c r="AN121" i="4031"/>
  <c r="AM121" i="4031"/>
  <c r="AL121" i="4031"/>
  <c r="AK121" i="4031"/>
  <c r="AJ121" i="4031"/>
  <c r="AI121" i="4031"/>
  <c r="AI131" i="4031" s="1"/>
  <c r="AH121" i="4031"/>
  <c r="AG121" i="4031"/>
  <c r="AF121" i="4031"/>
  <c r="AE121" i="4031"/>
  <c r="AD121" i="4031"/>
  <c r="AC121" i="4031"/>
  <c r="AB121" i="4031"/>
  <c r="AA121" i="4031"/>
  <c r="Z121" i="4031"/>
  <c r="Y121" i="4031"/>
  <c r="X121" i="4031"/>
  <c r="W121" i="4031"/>
  <c r="V121" i="4031"/>
  <c r="U121" i="4031"/>
  <c r="T121" i="4031"/>
  <c r="S121" i="4031"/>
  <c r="R121" i="4031"/>
  <c r="Q121" i="4031"/>
  <c r="P121" i="4031"/>
  <c r="O121" i="4031"/>
  <c r="N121" i="4031"/>
  <c r="M121" i="4031"/>
  <c r="L121" i="4031"/>
  <c r="K121" i="4031"/>
  <c r="J121" i="4031"/>
  <c r="I121" i="4031"/>
  <c r="H121" i="4031"/>
  <c r="G121" i="4031"/>
  <c r="F121" i="4031"/>
  <c r="E121" i="4031"/>
  <c r="C118" i="4031"/>
  <c r="AR117" i="4031"/>
  <c r="AQ117" i="4031"/>
  <c r="AP117" i="4031"/>
  <c r="AO117" i="4031"/>
  <c r="AN117" i="4031"/>
  <c r="AM117" i="4031"/>
  <c r="AL117" i="4031"/>
  <c r="AK117" i="4031"/>
  <c r="AJ117" i="4031"/>
  <c r="AI117" i="4031"/>
  <c r="AH117" i="4031"/>
  <c r="AG117" i="4031"/>
  <c r="AF117" i="4031"/>
  <c r="AE117" i="4031"/>
  <c r="AD117" i="4031"/>
  <c r="AC117" i="4031"/>
  <c r="AB117" i="4031"/>
  <c r="AA117" i="4031"/>
  <c r="Z117" i="4031"/>
  <c r="Y117" i="4031"/>
  <c r="X117" i="4031"/>
  <c r="W117" i="4031"/>
  <c r="V117" i="4031"/>
  <c r="U117" i="4031"/>
  <c r="T117" i="4031"/>
  <c r="S117" i="4031"/>
  <c r="R117" i="4031"/>
  <c r="Q117" i="4031"/>
  <c r="P117" i="4031"/>
  <c r="O117" i="4031"/>
  <c r="N117" i="4031"/>
  <c r="M117" i="4031"/>
  <c r="L117" i="4031"/>
  <c r="K117" i="4031"/>
  <c r="J117" i="4031"/>
  <c r="I117" i="4031"/>
  <c r="H117" i="4031"/>
  <c r="G117" i="4031"/>
  <c r="F117" i="4031"/>
  <c r="E117" i="4031"/>
  <c r="AR116" i="4031"/>
  <c r="AQ116" i="4031"/>
  <c r="AP116" i="4031"/>
  <c r="AO116" i="4031"/>
  <c r="AN116" i="4031"/>
  <c r="AM116" i="4031"/>
  <c r="AL116" i="4031"/>
  <c r="AK116" i="4031"/>
  <c r="AJ116" i="4031"/>
  <c r="AI116" i="4031"/>
  <c r="AH116" i="4031"/>
  <c r="AG116" i="4031"/>
  <c r="AF116" i="4031"/>
  <c r="AE116" i="4031"/>
  <c r="AD116" i="4031"/>
  <c r="AC116" i="4031"/>
  <c r="AB116" i="4031"/>
  <c r="AA116" i="4031"/>
  <c r="Z116" i="4031"/>
  <c r="Y116" i="4031"/>
  <c r="X116" i="4031"/>
  <c r="W116" i="4031"/>
  <c r="V116" i="4031"/>
  <c r="U116" i="4031"/>
  <c r="T116" i="4031"/>
  <c r="S116" i="4031"/>
  <c r="R116" i="4031"/>
  <c r="Q116" i="4031"/>
  <c r="P116" i="4031"/>
  <c r="O116" i="4031"/>
  <c r="N116" i="4031"/>
  <c r="M116" i="4031"/>
  <c r="L116" i="4031"/>
  <c r="K116" i="4031"/>
  <c r="J116" i="4031"/>
  <c r="I116" i="4031"/>
  <c r="H116" i="4031"/>
  <c r="G116" i="4031"/>
  <c r="F116" i="4031"/>
  <c r="E116" i="4031"/>
  <c r="C116" i="4031"/>
  <c r="C115" i="4031"/>
  <c r="AR109" i="4031"/>
  <c r="AR124" i="4031" s="1"/>
  <c r="AQ109" i="4031"/>
  <c r="AQ124" i="4031" s="1"/>
  <c r="AP109" i="4031"/>
  <c r="AP124" i="4031" s="1"/>
  <c r="AO109" i="4031"/>
  <c r="AO124" i="4031" s="1"/>
  <c r="AN109" i="4031"/>
  <c r="AN124" i="4031" s="1"/>
  <c r="AM109" i="4031"/>
  <c r="AM124" i="4031" s="1"/>
  <c r="AL109" i="4031"/>
  <c r="AL124" i="4031" s="1"/>
  <c r="AK109" i="4031"/>
  <c r="AK124" i="4031" s="1"/>
  <c r="AJ109" i="4031"/>
  <c r="AI109" i="4031"/>
  <c r="AI124" i="4031" s="1"/>
  <c r="AH109" i="4031"/>
  <c r="AH124" i="4031" s="1"/>
  <c r="AG109" i="4031"/>
  <c r="AG124" i="4031" s="1"/>
  <c r="AF109" i="4031"/>
  <c r="AF124" i="4031" s="1"/>
  <c r="AE109" i="4031"/>
  <c r="AE124" i="4031" s="1"/>
  <c r="AD109" i="4031"/>
  <c r="AD124" i="4031" s="1"/>
  <c r="AC109" i="4031"/>
  <c r="AC124" i="4031" s="1"/>
  <c r="AB109" i="4031"/>
  <c r="AB124" i="4031" s="1"/>
  <c r="AA109" i="4031"/>
  <c r="AA124" i="4031" s="1"/>
  <c r="Z109" i="4031"/>
  <c r="Z124" i="4031" s="1"/>
  <c r="Y109" i="4031"/>
  <c r="Y124" i="4031" s="1"/>
  <c r="X109" i="4031"/>
  <c r="W109" i="4031"/>
  <c r="V109" i="4031"/>
  <c r="U109" i="4031"/>
  <c r="T109" i="4031"/>
  <c r="S109" i="4031"/>
  <c r="R109" i="4031"/>
  <c r="Q109" i="4031"/>
  <c r="P109" i="4031"/>
  <c r="O109" i="4031"/>
  <c r="N109" i="4031"/>
  <c r="M109" i="4031"/>
  <c r="L109" i="4031"/>
  <c r="K109" i="4031"/>
  <c r="J109" i="4031"/>
  <c r="I109" i="4031"/>
  <c r="H109" i="4031"/>
  <c r="G109" i="4031"/>
  <c r="F109" i="4031"/>
  <c r="E109" i="4031"/>
  <c r="AJ124" i="4031"/>
  <c r="D108" i="4031"/>
  <c r="AR125" i="4031"/>
  <c r="AQ125" i="4031"/>
  <c r="AP125" i="4031"/>
  <c r="AO125" i="4031"/>
  <c r="AN125" i="4031"/>
  <c r="AM125" i="4031"/>
  <c r="AL125" i="4031"/>
  <c r="AK125" i="4031"/>
  <c r="AJ125" i="4031"/>
  <c r="AI125" i="4031"/>
  <c r="AH125" i="4031"/>
  <c r="AG125" i="4031"/>
  <c r="AF125" i="4031"/>
  <c r="AE125" i="4031"/>
  <c r="AD125" i="4031"/>
  <c r="AC125" i="4031"/>
  <c r="AB125" i="4031"/>
  <c r="AA125" i="4031"/>
  <c r="Z125" i="4031"/>
  <c r="Y125" i="4031"/>
  <c r="X125" i="4031"/>
  <c r="W125" i="4031"/>
  <c r="V125" i="4031"/>
  <c r="U125" i="4031"/>
  <c r="T125" i="4031"/>
  <c r="S125" i="4031"/>
  <c r="R125" i="4031"/>
  <c r="Q125" i="4031"/>
  <c r="P125" i="4031"/>
  <c r="O125" i="4031"/>
  <c r="N125" i="4031"/>
  <c r="M125" i="4031"/>
  <c r="L125" i="4031"/>
  <c r="K125" i="4031"/>
  <c r="J125" i="4031"/>
  <c r="I125" i="4031"/>
  <c r="H125" i="4031"/>
  <c r="G125" i="4031"/>
  <c r="F125" i="4031"/>
  <c r="D107" i="4031"/>
  <c r="E106" i="4031"/>
  <c r="E102" i="4031" s="1"/>
  <c r="D85" i="4031"/>
  <c r="D84" i="4031"/>
  <c r="D70" i="4031"/>
  <c r="D65" i="4031"/>
  <c r="D64" i="4031"/>
  <c r="D63" i="4031"/>
  <c r="C60" i="4031"/>
  <c r="D59" i="4031"/>
  <c r="C58" i="4031"/>
  <c r="D57" i="4031"/>
  <c r="C56" i="4031"/>
  <c r="D55" i="4031"/>
  <c r="C53" i="4031"/>
  <c r="D49" i="4031"/>
  <c r="C49" i="4031"/>
  <c r="D48" i="4031"/>
  <c r="E47" i="4031"/>
  <c r="D47" i="4031"/>
  <c r="E46" i="4031"/>
  <c r="D46" i="4031"/>
  <c r="E45" i="4031"/>
  <c r="D45" i="4031"/>
  <c r="C44" i="4031"/>
  <c r="C152" i="4031"/>
  <c r="C35" i="4031"/>
  <c r="C33" i="4031"/>
  <c r="C27" i="4031"/>
  <c r="C25" i="4031"/>
  <c r="E13" i="4031"/>
  <c r="D13" i="4031"/>
  <c r="E12" i="4031"/>
  <c r="C8" i="4031"/>
  <c r="D28" i="4031" s="1"/>
  <c r="D5" i="4031"/>
  <c r="C154" i="4030"/>
  <c r="D151" i="4030"/>
  <c r="AR147" i="4030"/>
  <c r="AQ147" i="4030"/>
  <c r="AP147" i="4030"/>
  <c r="AO147" i="4030"/>
  <c r="AN147" i="4030"/>
  <c r="AM147" i="4030"/>
  <c r="AL147" i="4030"/>
  <c r="AK147" i="4030"/>
  <c r="AJ147" i="4030"/>
  <c r="AI147" i="4030"/>
  <c r="AH147" i="4030"/>
  <c r="AG147" i="4030"/>
  <c r="AF147" i="4030"/>
  <c r="AE147" i="4030"/>
  <c r="AD147" i="4030"/>
  <c r="AC147" i="4030"/>
  <c r="AB147" i="4030"/>
  <c r="AA147" i="4030"/>
  <c r="Z147" i="4030"/>
  <c r="Y147" i="4030"/>
  <c r="X147" i="4030"/>
  <c r="W147" i="4030"/>
  <c r="V147" i="4030"/>
  <c r="U147" i="4030"/>
  <c r="T147" i="4030"/>
  <c r="AR145" i="4030"/>
  <c r="AQ145" i="4030"/>
  <c r="AP145" i="4030"/>
  <c r="AO145" i="4030"/>
  <c r="AN145" i="4030"/>
  <c r="AM145" i="4030"/>
  <c r="AL145" i="4030"/>
  <c r="AK145" i="4030"/>
  <c r="AJ145" i="4030"/>
  <c r="AI145" i="4030"/>
  <c r="AH145" i="4030"/>
  <c r="AG145" i="4030"/>
  <c r="AF145" i="4030"/>
  <c r="AE145" i="4030"/>
  <c r="AD145" i="4030"/>
  <c r="AC145" i="4030"/>
  <c r="AB145" i="4030"/>
  <c r="AA145" i="4030"/>
  <c r="Z145" i="4030"/>
  <c r="Y145" i="4030"/>
  <c r="X145" i="4030"/>
  <c r="W145" i="4030"/>
  <c r="V145" i="4030"/>
  <c r="U145" i="4030"/>
  <c r="T145" i="4030"/>
  <c r="C145" i="4030"/>
  <c r="AR136" i="4030"/>
  <c r="AQ136" i="4030"/>
  <c r="AP136" i="4030"/>
  <c r="AO136" i="4030"/>
  <c r="AN136" i="4030"/>
  <c r="AM136" i="4030"/>
  <c r="AL136" i="4030"/>
  <c r="AK136" i="4030"/>
  <c r="AJ136" i="4030"/>
  <c r="AI136" i="4030"/>
  <c r="AH136" i="4030"/>
  <c r="AG136" i="4030"/>
  <c r="AF136" i="4030"/>
  <c r="AE136" i="4030"/>
  <c r="AD136" i="4030"/>
  <c r="AC136" i="4030"/>
  <c r="AB136" i="4030"/>
  <c r="AA136" i="4030"/>
  <c r="Z136" i="4030"/>
  <c r="Y136" i="4030"/>
  <c r="X136" i="4030"/>
  <c r="W136" i="4030"/>
  <c r="V136" i="4030"/>
  <c r="U136" i="4030"/>
  <c r="T136" i="4030"/>
  <c r="AR135" i="4030"/>
  <c r="AQ135" i="4030"/>
  <c r="AP135" i="4030"/>
  <c r="AO135" i="4030"/>
  <c r="AN135" i="4030"/>
  <c r="AM135" i="4030"/>
  <c r="AL135" i="4030"/>
  <c r="AK135" i="4030"/>
  <c r="AJ135" i="4030"/>
  <c r="AI135" i="4030"/>
  <c r="AH135" i="4030"/>
  <c r="AG135" i="4030"/>
  <c r="AF135" i="4030"/>
  <c r="AE135" i="4030"/>
  <c r="AD135" i="4030"/>
  <c r="AC135" i="4030"/>
  <c r="AB135" i="4030"/>
  <c r="AA135" i="4030"/>
  <c r="Z135" i="4030"/>
  <c r="Y135" i="4030"/>
  <c r="X135" i="4030"/>
  <c r="W135" i="4030"/>
  <c r="V135" i="4030"/>
  <c r="U135" i="4030"/>
  <c r="T135" i="4030"/>
  <c r="AR134" i="4030"/>
  <c r="AQ134" i="4030"/>
  <c r="AP134" i="4030"/>
  <c r="AO134" i="4030"/>
  <c r="AN134" i="4030"/>
  <c r="AM134" i="4030"/>
  <c r="AL134" i="4030"/>
  <c r="AK134" i="4030"/>
  <c r="AJ134" i="4030"/>
  <c r="AI134" i="4030"/>
  <c r="AH134" i="4030"/>
  <c r="AG134" i="4030"/>
  <c r="AF134" i="4030"/>
  <c r="AE134" i="4030"/>
  <c r="AD134" i="4030"/>
  <c r="AC134" i="4030"/>
  <c r="AB134" i="4030"/>
  <c r="AA134" i="4030"/>
  <c r="Z134" i="4030"/>
  <c r="Y134" i="4030"/>
  <c r="X134" i="4030"/>
  <c r="W134" i="4030"/>
  <c r="V134" i="4030"/>
  <c r="U134" i="4030"/>
  <c r="T134" i="4030"/>
  <c r="E125" i="4030"/>
  <c r="C125" i="4030"/>
  <c r="E124" i="4030"/>
  <c r="C124" i="4030"/>
  <c r="AR123" i="4030"/>
  <c r="AQ123" i="4030"/>
  <c r="AP123" i="4030"/>
  <c r="AO123" i="4030"/>
  <c r="AN123" i="4030"/>
  <c r="AM123" i="4030"/>
  <c r="AL123" i="4030"/>
  <c r="AK123" i="4030"/>
  <c r="AJ123" i="4030"/>
  <c r="AI123" i="4030"/>
  <c r="AH123" i="4030"/>
  <c r="AG123" i="4030"/>
  <c r="AF123" i="4030"/>
  <c r="AE123" i="4030"/>
  <c r="AD123" i="4030"/>
  <c r="AC123" i="4030"/>
  <c r="AB123" i="4030"/>
  <c r="AA123" i="4030"/>
  <c r="Z123" i="4030"/>
  <c r="Y123" i="4030"/>
  <c r="X123" i="4030"/>
  <c r="W123" i="4030"/>
  <c r="V123" i="4030"/>
  <c r="U123" i="4030"/>
  <c r="T123" i="4030"/>
  <c r="S123" i="4030"/>
  <c r="R123" i="4030"/>
  <c r="Q123" i="4030"/>
  <c r="P123" i="4030"/>
  <c r="O123" i="4030"/>
  <c r="N123" i="4030"/>
  <c r="M123" i="4030"/>
  <c r="L123" i="4030"/>
  <c r="K123" i="4030"/>
  <c r="J123" i="4030"/>
  <c r="I123" i="4030"/>
  <c r="H123" i="4030"/>
  <c r="G123" i="4030"/>
  <c r="F123" i="4030"/>
  <c r="E123" i="4030"/>
  <c r="AR122" i="4030"/>
  <c r="AQ122" i="4030"/>
  <c r="AP122" i="4030"/>
  <c r="AO122" i="4030"/>
  <c r="AN122" i="4030"/>
  <c r="AM122" i="4030"/>
  <c r="AL122" i="4030"/>
  <c r="AK122" i="4030"/>
  <c r="AJ122" i="4030"/>
  <c r="AI122" i="4030"/>
  <c r="AH122" i="4030"/>
  <c r="AG122" i="4030"/>
  <c r="AF122" i="4030"/>
  <c r="AE122" i="4030"/>
  <c r="AD122" i="4030"/>
  <c r="AC122" i="4030"/>
  <c r="AB122" i="4030"/>
  <c r="AA122" i="4030"/>
  <c r="Z122" i="4030"/>
  <c r="Y122" i="4030"/>
  <c r="S122" i="4030"/>
  <c r="R122" i="4030"/>
  <c r="Q122" i="4030"/>
  <c r="P122" i="4030"/>
  <c r="O122" i="4030"/>
  <c r="N122" i="4030"/>
  <c r="M122" i="4030"/>
  <c r="L122" i="4030"/>
  <c r="K122" i="4030"/>
  <c r="J122" i="4030"/>
  <c r="I122" i="4030"/>
  <c r="H122" i="4030"/>
  <c r="G122" i="4030"/>
  <c r="F122" i="4030"/>
  <c r="E122" i="4030"/>
  <c r="AR121" i="4030"/>
  <c r="AQ121" i="4030"/>
  <c r="AP121" i="4030"/>
  <c r="AO121" i="4030"/>
  <c r="AN121" i="4030"/>
  <c r="AM121" i="4030"/>
  <c r="AL121" i="4030"/>
  <c r="AK121" i="4030"/>
  <c r="AJ121" i="4030"/>
  <c r="AI121" i="4030"/>
  <c r="AH121" i="4030"/>
  <c r="AG121" i="4030"/>
  <c r="AF121" i="4030"/>
  <c r="AE121" i="4030"/>
  <c r="AD121" i="4030"/>
  <c r="AC121" i="4030"/>
  <c r="AB121" i="4030"/>
  <c r="AA121" i="4030"/>
  <c r="Z121" i="4030"/>
  <c r="Y121" i="4030"/>
  <c r="X121" i="4030"/>
  <c r="W121" i="4030"/>
  <c r="V121" i="4030"/>
  <c r="U121" i="4030"/>
  <c r="T121" i="4030"/>
  <c r="S121" i="4030"/>
  <c r="R121" i="4030"/>
  <c r="Q121" i="4030"/>
  <c r="P121" i="4030"/>
  <c r="O121" i="4030"/>
  <c r="N121" i="4030"/>
  <c r="M121" i="4030"/>
  <c r="L121" i="4030"/>
  <c r="K121" i="4030"/>
  <c r="J121" i="4030"/>
  <c r="I121" i="4030"/>
  <c r="H121" i="4030"/>
  <c r="G121" i="4030"/>
  <c r="F121" i="4030"/>
  <c r="E121" i="4030"/>
  <c r="C118" i="4030"/>
  <c r="AR117" i="4030"/>
  <c r="AQ117" i="4030"/>
  <c r="AP117" i="4030"/>
  <c r="AO117" i="4030"/>
  <c r="AN117" i="4030"/>
  <c r="AM117" i="4030"/>
  <c r="AL117" i="4030"/>
  <c r="AK117" i="4030"/>
  <c r="AJ117" i="4030"/>
  <c r="AI117" i="4030"/>
  <c r="AH117" i="4030"/>
  <c r="AG117" i="4030"/>
  <c r="AF117" i="4030"/>
  <c r="AE117" i="4030"/>
  <c r="AD117" i="4030"/>
  <c r="AC117" i="4030"/>
  <c r="AB117" i="4030"/>
  <c r="AA117" i="4030"/>
  <c r="Z117" i="4030"/>
  <c r="Y117" i="4030"/>
  <c r="X117" i="4030"/>
  <c r="W117" i="4030"/>
  <c r="V117" i="4030"/>
  <c r="U117" i="4030"/>
  <c r="T117" i="4030"/>
  <c r="S117" i="4030"/>
  <c r="R117" i="4030"/>
  <c r="Q117" i="4030"/>
  <c r="P117" i="4030"/>
  <c r="O117" i="4030"/>
  <c r="N117" i="4030"/>
  <c r="M117" i="4030"/>
  <c r="L117" i="4030"/>
  <c r="K117" i="4030"/>
  <c r="J117" i="4030"/>
  <c r="I117" i="4030"/>
  <c r="H117" i="4030"/>
  <c r="G117" i="4030"/>
  <c r="F117" i="4030"/>
  <c r="E117" i="4030"/>
  <c r="AR116" i="4030"/>
  <c r="AQ116" i="4030"/>
  <c r="AP116" i="4030"/>
  <c r="AO116" i="4030"/>
  <c r="AN116" i="4030"/>
  <c r="AM116" i="4030"/>
  <c r="AL116" i="4030"/>
  <c r="AK116" i="4030"/>
  <c r="AJ116" i="4030"/>
  <c r="AI116" i="4030"/>
  <c r="AH116" i="4030"/>
  <c r="AG116" i="4030"/>
  <c r="AF116" i="4030"/>
  <c r="AE116" i="4030"/>
  <c r="AD116" i="4030"/>
  <c r="AC116" i="4030"/>
  <c r="AB116" i="4030"/>
  <c r="AA116" i="4030"/>
  <c r="Z116" i="4030"/>
  <c r="Y116" i="4030"/>
  <c r="X116" i="4030"/>
  <c r="W116" i="4030"/>
  <c r="V116" i="4030"/>
  <c r="U116" i="4030"/>
  <c r="T116" i="4030"/>
  <c r="S116" i="4030"/>
  <c r="R116" i="4030"/>
  <c r="Q116" i="4030"/>
  <c r="P116" i="4030"/>
  <c r="O116" i="4030"/>
  <c r="N116" i="4030"/>
  <c r="M116" i="4030"/>
  <c r="L116" i="4030"/>
  <c r="K116" i="4030"/>
  <c r="J116" i="4030"/>
  <c r="I116" i="4030"/>
  <c r="H116" i="4030"/>
  <c r="G116" i="4030"/>
  <c r="F116" i="4030"/>
  <c r="E116" i="4030"/>
  <c r="C116" i="4030"/>
  <c r="C115" i="4030"/>
  <c r="AR109" i="4030"/>
  <c r="AR124" i="4030" s="1"/>
  <c r="AQ109" i="4030"/>
  <c r="AQ124" i="4030" s="1"/>
  <c r="AP109" i="4030"/>
  <c r="AP124" i="4030" s="1"/>
  <c r="AO109" i="4030"/>
  <c r="AO124" i="4030" s="1"/>
  <c r="AN109" i="4030"/>
  <c r="AN124" i="4030" s="1"/>
  <c r="AM109" i="4030"/>
  <c r="AM124" i="4030" s="1"/>
  <c r="AL109" i="4030"/>
  <c r="AL124" i="4030" s="1"/>
  <c r="AK109" i="4030"/>
  <c r="AK124" i="4030" s="1"/>
  <c r="AJ109" i="4030"/>
  <c r="AJ124" i="4030" s="1"/>
  <c r="AI109" i="4030"/>
  <c r="AI124" i="4030" s="1"/>
  <c r="AH109" i="4030"/>
  <c r="AH124" i="4030" s="1"/>
  <c r="AG109" i="4030"/>
  <c r="AG124" i="4030" s="1"/>
  <c r="AF109" i="4030"/>
  <c r="AF124" i="4030" s="1"/>
  <c r="AE109" i="4030"/>
  <c r="AE124" i="4030" s="1"/>
  <c r="AD109" i="4030"/>
  <c r="AD124" i="4030" s="1"/>
  <c r="AC109" i="4030"/>
  <c r="AC124" i="4030" s="1"/>
  <c r="AB109" i="4030"/>
  <c r="AB124" i="4030" s="1"/>
  <c r="AA109" i="4030"/>
  <c r="AA124" i="4030" s="1"/>
  <c r="Z109" i="4030"/>
  <c r="Z124" i="4030" s="1"/>
  <c r="Y109" i="4030"/>
  <c r="Y124" i="4030" s="1"/>
  <c r="X109" i="4030"/>
  <c r="W109" i="4030"/>
  <c r="V109" i="4030"/>
  <c r="U109" i="4030"/>
  <c r="T109" i="4030"/>
  <c r="S109" i="4030"/>
  <c r="R109" i="4030"/>
  <c r="Q109" i="4030"/>
  <c r="P109" i="4030"/>
  <c r="O109" i="4030"/>
  <c r="N109" i="4030"/>
  <c r="M109" i="4030"/>
  <c r="L109" i="4030"/>
  <c r="K109" i="4030"/>
  <c r="J109" i="4030"/>
  <c r="I109" i="4030"/>
  <c r="H109" i="4030"/>
  <c r="G109" i="4030"/>
  <c r="F109" i="4030"/>
  <c r="E109" i="4030"/>
  <c r="D108" i="4030"/>
  <c r="AR125" i="4030"/>
  <c r="AQ125" i="4030"/>
  <c r="AP125" i="4030"/>
  <c r="AO125" i="4030"/>
  <c r="AN125" i="4030"/>
  <c r="AM125" i="4030"/>
  <c r="AL125" i="4030"/>
  <c r="AK125" i="4030"/>
  <c r="AJ125" i="4030"/>
  <c r="AI125" i="4030"/>
  <c r="AH125" i="4030"/>
  <c r="AG125" i="4030"/>
  <c r="AF125" i="4030"/>
  <c r="AE125" i="4030"/>
  <c r="AD125" i="4030"/>
  <c r="AC125" i="4030"/>
  <c r="AB125" i="4030"/>
  <c r="AA125" i="4030"/>
  <c r="Z125" i="4030"/>
  <c r="Y125" i="4030"/>
  <c r="X125" i="4030"/>
  <c r="W125" i="4030"/>
  <c r="V125" i="4030"/>
  <c r="U125" i="4030"/>
  <c r="T125" i="4030"/>
  <c r="S125" i="4030"/>
  <c r="R125" i="4030"/>
  <c r="Q125" i="4030"/>
  <c r="P125" i="4030"/>
  <c r="O125" i="4030"/>
  <c r="N125" i="4030"/>
  <c r="M125" i="4030"/>
  <c r="L125" i="4030"/>
  <c r="K125" i="4030"/>
  <c r="J125" i="4030"/>
  <c r="I125" i="4030"/>
  <c r="H125" i="4030"/>
  <c r="G125" i="4030"/>
  <c r="F125" i="4030"/>
  <c r="D107" i="4030"/>
  <c r="E106" i="4030"/>
  <c r="F106" i="4030" s="1"/>
  <c r="G106" i="4030" s="1"/>
  <c r="H106" i="4030" s="1"/>
  <c r="I106" i="4030" s="1"/>
  <c r="J106" i="4030" s="1"/>
  <c r="K106" i="4030" s="1"/>
  <c r="L106" i="4030" s="1"/>
  <c r="M106" i="4030" s="1"/>
  <c r="N106" i="4030" s="1"/>
  <c r="O106" i="4030" s="1"/>
  <c r="P106" i="4030" s="1"/>
  <c r="Q106" i="4030" s="1"/>
  <c r="R106" i="4030" s="1"/>
  <c r="S106" i="4030" s="1"/>
  <c r="T106" i="4030" s="1"/>
  <c r="U106" i="4030" s="1"/>
  <c r="V106" i="4030" s="1"/>
  <c r="W106" i="4030" s="1"/>
  <c r="X106" i="4030" s="1"/>
  <c r="Y106" i="4030" s="1"/>
  <c r="Z106" i="4030" s="1"/>
  <c r="AA106" i="4030" s="1"/>
  <c r="AB106" i="4030" s="1"/>
  <c r="AC106" i="4030" s="1"/>
  <c r="AD106" i="4030" s="1"/>
  <c r="AE106" i="4030" s="1"/>
  <c r="AF106" i="4030" s="1"/>
  <c r="AG106" i="4030" s="1"/>
  <c r="AH106" i="4030" s="1"/>
  <c r="AI106" i="4030" s="1"/>
  <c r="AJ106" i="4030" s="1"/>
  <c r="AK106" i="4030" s="1"/>
  <c r="AL106" i="4030" s="1"/>
  <c r="AM106" i="4030" s="1"/>
  <c r="AN106" i="4030" s="1"/>
  <c r="AO106" i="4030" s="1"/>
  <c r="AP106" i="4030" s="1"/>
  <c r="AQ106" i="4030" s="1"/>
  <c r="AR106" i="4030" s="1"/>
  <c r="D85" i="4030"/>
  <c r="D84" i="4030"/>
  <c r="D70" i="4030"/>
  <c r="D65" i="4030"/>
  <c r="D64" i="4030"/>
  <c r="D63" i="4030"/>
  <c r="C60" i="4030"/>
  <c r="D59" i="4030"/>
  <c r="C58" i="4030"/>
  <c r="D57" i="4030"/>
  <c r="C56" i="4030"/>
  <c r="D55" i="4030"/>
  <c r="C53" i="4030"/>
  <c r="D49" i="4030"/>
  <c r="C49" i="4030"/>
  <c r="D48" i="4030"/>
  <c r="E47" i="4030"/>
  <c r="D47" i="4030"/>
  <c r="E46" i="4030"/>
  <c r="D46" i="4030"/>
  <c r="E45" i="4030"/>
  <c r="D45" i="4030"/>
  <c r="C44" i="4030"/>
  <c r="C152" i="4030"/>
  <c r="D113" i="4030" s="1"/>
  <c r="D146" i="4030" s="1"/>
  <c r="C35" i="4030"/>
  <c r="C33" i="4030"/>
  <c r="C27" i="4030"/>
  <c r="C25" i="4030"/>
  <c r="E13" i="4030"/>
  <c r="D13" i="4030"/>
  <c r="E12" i="4030"/>
  <c r="C8" i="4030"/>
  <c r="D42" i="4030" s="1"/>
  <c r="D5" i="4030"/>
  <c r="C154" i="4029"/>
  <c r="D151" i="4029"/>
  <c r="AR147" i="4029"/>
  <c r="AQ147" i="4029"/>
  <c r="AP147" i="4029"/>
  <c r="AO147" i="4029"/>
  <c r="AN147" i="4029"/>
  <c r="AM147" i="4029"/>
  <c r="AL147" i="4029"/>
  <c r="AK147" i="4029"/>
  <c r="AJ147" i="4029"/>
  <c r="AI147" i="4029"/>
  <c r="AH147" i="4029"/>
  <c r="AG147" i="4029"/>
  <c r="AF147" i="4029"/>
  <c r="AE147" i="4029"/>
  <c r="AD147" i="4029"/>
  <c r="AC147" i="4029"/>
  <c r="AB147" i="4029"/>
  <c r="AA147" i="4029"/>
  <c r="Z147" i="4029"/>
  <c r="Y147" i="4029"/>
  <c r="X147" i="4029"/>
  <c r="W147" i="4029"/>
  <c r="V147" i="4029"/>
  <c r="U147" i="4029"/>
  <c r="T147" i="4029"/>
  <c r="AR145" i="4029"/>
  <c r="AQ145" i="4029"/>
  <c r="AP145" i="4029"/>
  <c r="AO145" i="4029"/>
  <c r="AN145" i="4029"/>
  <c r="AM145" i="4029"/>
  <c r="AL145" i="4029"/>
  <c r="AK145" i="4029"/>
  <c r="AJ145" i="4029"/>
  <c r="AI145" i="4029"/>
  <c r="AH145" i="4029"/>
  <c r="AG145" i="4029"/>
  <c r="AF145" i="4029"/>
  <c r="AE145" i="4029"/>
  <c r="AD145" i="4029"/>
  <c r="AC145" i="4029"/>
  <c r="AB145" i="4029"/>
  <c r="AA145" i="4029"/>
  <c r="Z145" i="4029"/>
  <c r="Y145" i="4029"/>
  <c r="X145" i="4029"/>
  <c r="W145" i="4029"/>
  <c r="V145" i="4029"/>
  <c r="U145" i="4029"/>
  <c r="T145" i="4029"/>
  <c r="C145" i="4029"/>
  <c r="AR136" i="4029"/>
  <c r="AQ136" i="4029"/>
  <c r="AP136" i="4029"/>
  <c r="AO136" i="4029"/>
  <c r="AN136" i="4029"/>
  <c r="AM136" i="4029"/>
  <c r="AL136" i="4029"/>
  <c r="AK136" i="4029"/>
  <c r="AJ136" i="4029"/>
  <c r="AI136" i="4029"/>
  <c r="AH136" i="4029"/>
  <c r="AG136" i="4029"/>
  <c r="AF136" i="4029"/>
  <c r="AE136" i="4029"/>
  <c r="AD136" i="4029"/>
  <c r="AC136" i="4029"/>
  <c r="AB136" i="4029"/>
  <c r="AA136" i="4029"/>
  <c r="Z136" i="4029"/>
  <c r="Y136" i="4029"/>
  <c r="X136" i="4029"/>
  <c r="W136" i="4029"/>
  <c r="V136" i="4029"/>
  <c r="U136" i="4029"/>
  <c r="T136" i="4029"/>
  <c r="AR135" i="4029"/>
  <c r="AQ135" i="4029"/>
  <c r="AP135" i="4029"/>
  <c r="AO135" i="4029"/>
  <c r="AN135" i="4029"/>
  <c r="AM135" i="4029"/>
  <c r="AL135" i="4029"/>
  <c r="AK135" i="4029"/>
  <c r="AJ135" i="4029"/>
  <c r="AI135" i="4029"/>
  <c r="AH135" i="4029"/>
  <c r="AG135" i="4029"/>
  <c r="AF135" i="4029"/>
  <c r="AE135" i="4029"/>
  <c r="AD135" i="4029"/>
  <c r="AC135" i="4029"/>
  <c r="AB135" i="4029"/>
  <c r="AA135" i="4029"/>
  <c r="Z135" i="4029"/>
  <c r="Y135" i="4029"/>
  <c r="X135" i="4029"/>
  <c r="W135" i="4029"/>
  <c r="V135" i="4029"/>
  <c r="U135" i="4029"/>
  <c r="T135" i="4029"/>
  <c r="AR134" i="4029"/>
  <c r="AQ134" i="4029"/>
  <c r="AP134" i="4029"/>
  <c r="AO134" i="4029"/>
  <c r="AN134" i="4029"/>
  <c r="AM134" i="4029"/>
  <c r="AL134" i="4029"/>
  <c r="AK134" i="4029"/>
  <c r="AJ134" i="4029"/>
  <c r="AI134" i="4029"/>
  <c r="AH134" i="4029"/>
  <c r="AG134" i="4029"/>
  <c r="AF134" i="4029"/>
  <c r="AE134" i="4029"/>
  <c r="AD134" i="4029"/>
  <c r="AC134" i="4029"/>
  <c r="AB134" i="4029"/>
  <c r="AA134" i="4029"/>
  <c r="Z134" i="4029"/>
  <c r="Y134" i="4029"/>
  <c r="X134" i="4029"/>
  <c r="W134" i="4029"/>
  <c r="V134" i="4029"/>
  <c r="U134" i="4029"/>
  <c r="T134" i="4029"/>
  <c r="E125" i="4029"/>
  <c r="C125" i="4029"/>
  <c r="E124" i="4029"/>
  <c r="C124" i="4029"/>
  <c r="AR123" i="4029"/>
  <c r="AQ123" i="4029"/>
  <c r="AP123" i="4029"/>
  <c r="AO123" i="4029"/>
  <c r="AN123" i="4029"/>
  <c r="AM123" i="4029"/>
  <c r="AL123" i="4029"/>
  <c r="AK123" i="4029"/>
  <c r="AJ123" i="4029"/>
  <c r="AI123" i="4029"/>
  <c r="AH123" i="4029"/>
  <c r="AG123" i="4029"/>
  <c r="AF123" i="4029"/>
  <c r="AE123" i="4029"/>
  <c r="AD123" i="4029"/>
  <c r="AC123" i="4029"/>
  <c r="AB123" i="4029"/>
  <c r="AA123" i="4029"/>
  <c r="Z123" i="4029"/>
  <c r="Y123" i="4029"/>
  <c r="X123" i="4029"/>
  <c r="W123" i="4029"/>
  <c r="V123" i="4029"/>
  <c r="U123" i="4029"/>
  <c r="T123" i="4029"/>
  <c r="S123" i="4029"/>
  <c r="R123" i="4029"/>
  <c r="Q123" i="4029"/>
  <c r="P123" i="4029"/>
  <c r="O123" i="4029"/>
  <c r="N123" i="4029"/>
  <c r="M123" i="4029"/>
  <c r="L123" i="4029"/>
  <c r="K123" i="4029"/>
  <c r="J123" i="4029"/>
  <c r="I123" i="4029"/>
  <c r="H123" i="4029"/>
  <c r="G123" i="4029"/>
  <c r="F123" i="4029"/>
  <c r="E123" i="4029"/>
  <c r="AR122" i="4029"/>
  <c r="AQ122" i="4029"/>
  <c r="AP122" i="4029"/>
  <c r="AO122" i="4029"/>
  <c r="AN122" i="4029"/>
  <c r="AM122" i="4029"/>
  <c r="AL122" i="4029"/>
  <c r="AK122" i="4029"/>
  <c r="AJ122" i="4029"/>
  <c r="AI122" i="4029"/>
  <c r="AH122" i="4029"/>
  <c r="AG122" i="4029"/>
  <c r="AF122" i="4029"/>
  <c r="AE122" i="4029"/>
  <c r="AD122" i="4029"/>
  <c r="AC122" i="4029"/>
  <c r="AB122" i="4029"/>
  <c r="AA122" i="4029"/>
  <c r="Z122" i="4029"/>
  <c r="Y122" i="4029"/>
  <c r="S122" i="4029"/>
  <c r="R122" i="4029"/>
  <c r="Q122" i="4029"/>
  <c r="P122" i="4029"/>
  <c r="O122" i="4029"/>
  <c r="N122" i="4029"/>
  <c r="M122" i="4029"/>
  <c r="L122" i="4029"/>
  <c r="K122" i="4029"/>
  <c r="J122" i="4029"/>
  <c r="I122" i="4029"/>
  <c r="H122" i="4029"/>
  <c r="G122" i="4029"/>
  <c r="F122" i="4029"/>
  <c r="E122" i="4029"/>
  <c r="AR121" i="4029"/>
  <c r="AQ121" i="4029"/>
  <c r="AP121" i="4029"/>
  <c r="AO121" i="4029"/>
  <c r="AN121" i="4029"/>
  <c r="AM121" i="4029"/>
  <c r="AL121" i="4029"/>
  <c r="AK121" i="4029"/>
  <c r="AJ121" i="4029"/>
  <c r="AI121" i="4029"/>
  <c r="AH121" i="4029"/>
  <c r="AH131" i="4029" s="1"/>
  <c r="AG121" i="4029"/>
  <c r="AF121" i="4029"/>
  <c r="AE121" i="4029"/>
  <c r="AD121" i="4029"/>
  <c r="AC121" i="4029"/>
  <c r="AB121" i="4029"/>
  <c r="AA121" i="4029"/>
  <c r="Z121" i="4029"/>
  <c r="Y121" i="4029"/>
  <c r="X121" i="4029"/>
  <c r="W121" i="4029"/>
  <c r="V121" i="4029"/>
  <c r="U121" i="4029"/>
  <c r="T121" i="4029"/>
  <c r="S121" i="4029"/>
  <c r="R121" i="4029"/>
  <c r="Q121" i="4029"/>
  <c r="P121" i="4029"/>
  <c r="O121" i="4029"/>
  <c r="N121" i="4029"/>
  <c r="M121" i="4029"/>
  <c r="L121" i="4029"/>
  <c r="K121" i="4029"/>
  <c r="J121" i="4029"/>
  <c r="I121" i="4029"/>
  <c r="H121" i="4029"/>
  <c r="G121" i="4029"/>
  <c r="F121" i="4029"/>
  <c r="E121" i="4029"/>
  <c r="C118" i="4029"/>
  <c r="AR117" i="4029"/>
  <c r="AQ117" i="4029"/>
  <c r="AP117" i="4029"/>
  <c r="AO117" i="4029"/>
  <c r="AN117" i="4029"/>
  <c r="AM117" i="4029"/>
  <c r="AL117" i="4029"/>
  <c r="AK117" i="4029"/>
  <c r="AJ117" i="4029"/>
  <c r="AI117" i="4029"/>
  <c r="AH117" i="4029"/>
  <c r="AG117" i="4029"/>
  <c r="AF117" i="4029"/>
  <c r="AE117" i="4029"/>
  <c r="AD117" i="4029"/>
  <c r="AC117" i="4029"/>
  <c r="AB117" i="4029"/>
  <c r="AA117" i="4029"/>
  <c r="Z117" i="4029"/>
  <c r="Y117" i="4029"/>
  <c r="X117" i="4029"/>
  <c r="W117" i="4029"/>
  <c r="V117" i="4029"/>
  <c r="U117" i="4029"/>
  <c r="T117" i="4029"/>
  <c r="S117" i="4029"/>
  <c r="R117" i="4029"/>
  <c r="Q117" i="4029"/>
  <c r="P117" i="4029"/>
  <c r="O117" i="4029"/>
  <c r="N117" i="4029"/>
  <c r="M117" i="4029"/>
  <c r="L117" i="4029"/>
  <c r="K117" i="4029"/>
  <c r="J117" i="4029"/>
  <c r="I117" i="4029"/>
  <c r="H117" i="4029"/>
  <c r="G117" i="4029"/>
  <c r="F117" i="4029"/>
  <c r="E117" i="4029"/>
  <c r="AR116" i="4029"/>
  <c r="AQ116" i="4029"/>
  <c r="AP116" i="4029"/>
  <c r="AO116" i="4029"/>
  <c r="AN116" i="4029"/>
  <c r="AM116" i="4029"/>
  <c r="AL116" i="4029"/>
  <c r="AK116" i="4029"/>
  <c r="AJ116" i="4029"/>
  <c r="AI116" i="4029"/>
  <c r="AH116" i="4029"/>
  <c r="AG116" i="4029"/>
  <c r="AF116" i="4029"/>
  <c r="AE116" i="4029"/>
  <c r="AD116" i="4029"/>
  <c r="AC116" i="4029"/>
  <c r="AB116" i="4029"/>
  <c r="AA116" i="4029"/>
  <c r="Z116" i="4029"/>
  <c r="Y116" i="4029"/>
  <c r="X116" i="4029"/>
  <c r="W116" i="4029"/>
  <c r="V116" i="4029"/>
  <c r="U116" i="4029"/>
  <c r="T116" i="4029"/>
  <c r="S116" i="4029"/>
  <c r="R116" i="4029"/>
  <c r="Q116" i="4029"/>
  <c r="P116" i="4029"/>
  <c r="O116" i="4029"/>
  <c r="N116" i="4029"/>
  <c r="M116" i="4029"/>
  <c r="L116" i="4029"/>
  <c r="K116" i="4029"/>
  <c r="J116" i="4029"/>
  <c r="I116" i="4029"/>
  <c r="H116" i="4029"/>
  <c r="G116" i="4029"/>
  <c r="F116" i="4029"/>
  <c r="E116" i="4029"/>
  <c r="C116" i="4029"/>
  <c r="C115" i="4029"/>
  <c r="AR109" i="4029"/>
  <c r="AR124" i="4029" s="1"/>
  <c r="AQ109" i="4029"/>
  <c r="AQ124" i="4029" s="1"/>
  <c r="AP109" i="4029"/>
  <c r="AP124" i="4029" s="1"/>
  <c r="AO109" i="4029"/>
  <c r="AO124" i="4029" s="1"/>
  <c r="AN109" i="4029"/>
  <c r="AN124" i="4029" s="1"/>
  <c r="AM109" i="4029"/>
  <c r="AL109" i="4029"/>
  <c r="AL124" i="4029" s="1"/>
  <c r="AK109" i="4029"/>
  <c r="AK124" i="4029" s="1"/>
  <c r="AJ109" i="4029"/>
  <c r="AJ124" i="4029" s="1"/>
  <c r="AI109" i="4029"/>
  <c r="AI124" i="4029" s="1"/>
  <c r="AH109" i="4029"/>
  <c r="AH124" i="4029" s="1"/>
  <c r="AG109" i="4029"/>
  <c r="AF109" i="4029"/>
  <c r="AF124" i="4029" s="1"/>
  <c r="AE109" i="4029"/>
  <c r="AE124" i="4029" s="1"/>
  <c r="AD109" i="4029"/>
  <c r="AD124" i="4029" s="1"/>
  <c r="AC109" i="4029"/>
  <c r="AC124" i="4029" s="1"/>
  <c r="AB109" i="4029"/>
  <c r="AB124" i="4029" s="1"/>
  <c r="AA109" i="4029"/>
  <c r="AA124" i="4029" s="1"/>
  <c r="Z109" i="4029"/>
  <c r="Z124" i="4029" s="1"/>
  <c r="Y109" i="4029"/>
  <c r="Y124" i="4029" s="1"/>
  <c r="X109" i="4029"/>
  <c r="W109" i="4029"/>
  <c r="V109" i="4029"/>
  <c r="U109" i="4029"/>
  <c r="T109" i="4029"/>
  <c r="S109" i="4029"/>
  <c r="R109" i="4029"/>
  <c r="Q109" i="4029"/>
  <c r="P109" i="4029"/>
  <c r="O109" i="4029"/>
  <c r="N109" i="4029"/>
  <c r="M109" i="4029"/>
  <c r="L109" i="4029"/>
  <c r="K109" i="4029"/>
  <c r="J109" i="4029"/>
  <c r="I109" i="4029"/>
  <c r="H109" i="4029"/>
  <c r="G109" i="4029"/>
  <c r="F109" i="4029"/>
  <c r="E109" i="4029"/>
  <c r="AM124" i="4029"/>
  <c r="AG124" i="4029"/>
  <c r="D108" i="4029"/>
  <c r="AR125" i="4029"/>
  <c r="AQ125" i="4029"/>
  <c r="AP125" i="4029"/>
  <c r="AO125" i="4029"/>
  <c r="AN125" i="4029"/>
  <c r="AM125" i="4029"/>
  <c r="AL125" i="4029"/>
  <c r="AK125" i="4029"/>
  <c r="AJ125" i="4029"/>
  <c r="AI125" i="4029"/>
  <c r="AH125" i="4029"/>
  <c r="AG125" i="4029"/>
  <c r="AF125" i="4029"/>
  <c r="AE125" i="4029"/>
  <c r="AD125" i="4029"/>
  <c r="AC125" i="4029"/>
  <c r="AB125" i="4029"/>
  <c r="AA125" i="4029"/>
  <c r="Z125" i="4029"/>
  <c r="Y125" i="4029"/>
  <c r="X125" i="4029"/>
  <c r="W125" i="4029"/>
  <c r="V125" i="4029"/>
  <c r="U125" i="4029"/>
  <c r="T125" i="4029"/>
  <c r="S125" i="4029"/>
  <c r="R125" i="4029"/>
  <c r="Q125" i="4029"/>
  <c r="P125" i="4029"/>
  <c r="O125" i="4029"/>
  <c r="N125" i="4029"/>
  <c r="M125" i="4029"/>
  <c r="L125" i="4029"/>
  <c r="K125" i="4029"/>
  <c r="J125" i="4029"/>
  <c r="I125" i="4029"/>
  <c r="H125" i="4029"/>
  <c r="G125" i="4029"/>
  <c r="F125" i="4029"/>
  <c r="D107" i="4029"/>
  <c r="E106" i="4029"/>
  <c r="F106" i="4029" s="1"/>
  <c r="G106" i="4029" s="1"/>
  <c r="H106" i="4029" s="1"/>
  <c r="I106" i="4029" s="1"/>
  <c r="J106" i="4029" s="1"/>
  <c r="K106" i="4029" s="1"/>
  <c r="L106" i="4029" s="1"/>
  <c r="M106" i="4029" s="1"/>
  <c r="N106" i="4029" s="1"/>
  <c r="O106" i="4029" s="1"/>
  <c r="P106" i="4029" s="1"/>
  <c r="Q106" i="4029" s="1"/>
  <c r="R106" i="4029" s="1"/>
  <c r="S106" i="4029" s="1"/>
  <c r="T106" i="4029" s="1"/>
  <c r="U106" i="4029" s="1"/>
  <c r="V106" i="4029" s="1"/>
  <c r="W106" i="4029" s="1"/>
  <c r="X106" i="4029" s="1"/>
  <c r="Y106" i="4029" s="1"/>
  <c r="Z106" i="4029" s="1"/>
  <c r="AA106" i="4029" s="1"/>
  <c r="AB106" i="4029" s="1"/>
  <c r="AC106" i="4029" s="1"/>
  <c r="AD106" i="4029" s="1"/>
  <c r="AE106" i="4029" s="1"/>
  <c r="AF106" i="4029" s="1"/>
  <c r="AG106" i="4029" s="1"/>
  <c r="AH106" i="4029" s="1"/>
  <c r="AI106" i="4029" s="1"/>
  <c r="AJ106" i="4029" s="1"/>
  <c r="AK106" i="4029" s="1"/>
  <c r="AL106" i="4029" s="1"/>
  <c r="AM106" i="4029" s="1"/>
  <c r="AN106" i="4029" s="1"/>
  <c r="AO106" i="4029" s="1"/>
  <c r="AP106" i="4029" s="1"/>
  <c r="AQ106" i="4029" s="1"/>
  <c r="AR106" i="4029" s="1"/>
  <c r="D85" i="4029"/>
  <c r="D84" i="4029"/>
  <c r="D70" i="4029"/>
  <c r="D65" i="4029"/>
  <c r="D64" i="4029"/>
  <c r="D63" i="4029"/>
  <c r="C60" i="4029"/>
  <c r="D59" i="4029"/>
  <c r="C58" i="4029"/>
  <c r="D57" i="4029"/>
  <c r="C56" i="4029"/>
  <c r="D55" i="4029"/>
  <c r="C53" i="4029"/>
  <c r="D49" i="4029"/>
  <c r="C49" i="4029"/>
  <c r="D48" i="4029"/>
  <c r="E47" i="4029"/>
  <c r="D47" i="4029"/>
  <c r="E46" i="4029"/>
  <c r="D46" i="4029"/>
  <c r="E45" i="4029"/>
  <c r="D45" i="4029"/>
  <c r="C44" i="4029"/>
  <c r="C152" i="4029"/>
  <c r="C35" i="4029"/>
  <c r="C33" i="4029"/>
  <c r="C27" i="4029"/>
  <c r="C25" i="4029"/>
  <c r="E13" i="4029"/>
  <c r="D13" i="4029"/>
  <c r="E12" i="4029"/>
  <c r="C8" i="4029"/>
  <c r="D42" i="4029" s="1"/>
  <c r="D5" i="4029"/>
  <c r="C154" i="4028"/>
  <c r="D151" i="4028"/>
  <c r="AR147" i="4028"/>
  <c r="AQ147" i="4028"/>
  <c r="AP147" i="4028"/>
  <c r="AO147" i="4028"/>
  <c r="AN147" i="4028"/>
  <c r="AM147" i="4028"/>
  <c r="AL147" i="4028"/>
  <c r="AK147" i="4028"/>
  <c r="AJ147" i="4028"/>
  <c r="AI147" i="4028"/>
  <c r="AH147" i="4028"/>
  <c r="AG147" i="4028"/>
  <c r="AF147" i="4028"/>
  <c r="AE147" i="4028"/>
  <c r="AD147" i="4028"/>
  <c r="AC147" i="4028"/>
  <c r="AB147" i="4028"/>
  <c r="AA147" i="4028"/>
  <c r="Z147" i="4028"/>
  <c r="Y147" i="4028"/>
  <c r="X147" i="4028"/>
  <c r="W147" i="4028"/>
  <c r="V147" i="4028"/>
  <c r="U147" i="4028"/>
  <c r="T147" i="4028"/>
  <c r="AR145" i="4028"/>
  <c r="AQ145" i="4028"/>
  <c r="AP145" i="4028"/>
  <c r="AO145" i="4028"/>
  <c r="AN145" i="4028"/>
  <c r="AM145" i="4028"/>
  <c r="AL145" i="4028"/>
  <c r="AK145" i="4028"/>
  <c r="AJ145" i="4028"/>
  <c r="AI145" i="4028"/>
  <c r="AH145" i="4028"/>
  <c r="AG145" i="4028"/>
  <c r="AF145" i="4028"/>
  <c r="AE145" i="4028"/>
  <c r="AD145" i="4028"/>
  <c r="AC145" i="4028"/>
  <c r="AB145" i="4028"/>
  <c r="AA145" i="4028"/>
  <c r="Z145" i="4028"/>
  <c r="Y145" i="4028"/>
  <c r="X145" i="4028"/>
  <c r="W145" i="4028"/>
  <c r="V145" i="4028"/>
  <c r="U145" i="4028"/>
  <c r="T145" i="4028"/>
  <c r="C145" i="4028"/>
  <c r="AR136" i="4028"/>
  <c r="AQ136" i="4028"/>
  <c r="AP136" i="4028"/>
  <c r="AO136" i="4028"/>
  <c r="AN136" i="4028"/>
  <c r="AM136" i="4028"/>
  <c r="AL136" i="4028"/>
  <c r="AK136" i="4028"/>
  <c r="AJ136" i="4028"/>
  <c r="AI136" i="4028"/>
  <c r="AH136" i="4028"/>
  <c r="AG136" i="4028"/>
  <c r="AF136" i="4028"/>
  <c r="AE136" i="4028"/>
  <c r="AD136" i="4028"/>
  <c r="AC136" i="4028"/>
  <c r="AB136" i="4028"/>
  <c r="AA136" i="4028"/>
  <c r="Z136" i="4028"/>
  <c r="Y136" i="4028"/>
  <c r="X136" i="4028"/>
  <c r="W136" i="4028"/>
  <c r="V136" i="4028"/>
  <c r="U136" i="4028"/>
  <c r="T136" i="4028"/>
  <c r="AR135" i="4028"/>
  <c r="AQ135" i="4028"/>
  <c r="AP135" i="4028"/>
  <c r="AO135" i="4028"/>
  <c r="AN135" i="4028"/>
  <c r="AM135" i="4028"/>
  <c r="AL135" i="4028"/>
  <c r="AK135" i="4028"/>
  <c r="AJ135" i="4028"/>
  <c r="AI135" i="4028"/>
  <c r="AH135" i="4028"/>
  <c r="AG135" i="4028"/>
  <c r="AF135" i="4028"/>
  <c r="AE135" i="4028"/>
  <c r="AD135" i="4028"/>
  <c r="AC135" i="4028"/>
  <c r="AB135" i="4028"/>
  <c r="AA135" i="4028"/>
  <c r="Z135" i="4028"/>
  <c r="Y135" i="4028"/>
  <c r="X135" i="4028"/>
  <c r="W135" i="4028"/>
  <c r="V135" i="4028"/>
  <c r="U135" i="4028"/>
  <c r="T135" i="4028"/>
  <c r="AR134" i="4028"/>
  <c r="AQ134" i="4028"/>
  <c r="AP134" i="4028"/>
  <c r="AO134" i="4028"/>
  <c r="AN134" i="4028"/>
  <c r="AM134" i="4028"/>
  <c r="AL134" i="4028"/>
  <c r="AK134" i="4028"/>
  <c r="AJ134" i="4028"/>
  <c r="AI134" i="4028"/>
  <c r="AH134" i="4028"/>
  <c r="AG134" i="4028"/>
  <c r="AF134" i="4028"/>
  <c r="AE134" i="4028"/>
  <c r="AD134" i="4028"/>
  <c r="AC134" i="4028"/>
  <c r="AB134" i="4028"/>
  <c r="AA134" i="4028"/>
  <c r="Z134" i="4028"/>
  <c r="Y134" i="4028"/>
  <c r="X134" i="4028"/>
  <c r="W134" i="4028"/>
  <c r="V134" i="4028"/>
  <c r="U134" i="4028"/>
  <c r="T134" i="4028"/>
  <c r="E125" i="4028"/>
  <c r="C125" i="4028"/>
  <c r="E124" i="4028"/>
  <c r="C124" i="4028"/>
  <c r="AR123" i="4028"/>
  <c r="AQ123" i="4028"/>
  <c r="AP123" i="4028"/>
  <c r="AO123" i="4028"/>
  <c r="AN123" i="4028"/>
  <c r="AM123" i="4028"/>
  <c r="AL123" i="4028"/>
  <c r="AK123" i="4028"/>
  <c r="AJ123" i="4028"/>
  <c r="AI123" i="4028"/>
  <c r="AH123" i="4028"/>
  <c r="AG123" i="4028"/>
  <c r="AF123" i="4028"/>
  <c r="AE123" i="4028"/>
  <c r="AD123" i="4028"/>
  <c r="AC123" i="4028"/>
  <c r="AB123" i="4028"/>
  <c r="AA123" i="4028"/>
  <c r="Z123" i="4028"/>
  <c r="Y123" i="4028"/>
  <c r="X123" i="4028"/>
  <c r="W123" i="4028"/>
  <c r="V123" i="4028"/>
  <c r="U123" i="4028"/>
  <c r="T123" i="4028"/>
  <c r="S123" i="4028"/>
  <c r="R123" i="4028"/>
  <c r="Q123" i="4028"/>
  <c r="P123" i="4028"/>
  <c r="O123" i="4028"/>
  <c r="N123" i="4028"/>
  <c r="M123" i="4028"/>
  <c r="L123" i="4028"/>
  <c r="K123" i="4028"/>
  <c r="J123" i="4028"/>
  <c r="I123" i="4028"/>
  <c r="H123" i="4028"/>
  <c r="G123" i="4028"/>
  <c r="F123" i="4028"/>
  <c r="E123" i="4028"/>
  <c r="AR122" i="4028"/>
  <c r="AQ122" i="4028"/>
  <c r="AP122" i="4028"/>
  <c r="AO122" i="4028"/>
  <c r="AN122" i="4028"/>
  <c r="AM122" i="4028"/>
  <c r="AL122" i="4028"/>
  <c r="AK122" i="4028"/>
  <c r="AJ122" i="4028"/>
  <c r="AI122" i="4028"/>
  <c r="AH122" i="4028"/>
  <c r="AG122" i="4028"/>
  <c r="AF122" i="4028"/>
  <c r="AE122" i="4028"/>
  <c r="AD122" i="4028"/>
  <c r="AC122" i="4028"/>
  <c r="AB122" i="4028"/>
  <c r="AA122" i="4028"/>
  <c r="Z122" i="4028"/>
  <c r="Y122" i="4028"/>
  <c r="S122" i="4028"/>
  <c r="R122" i="4028"/>
  <c r="Q122" i="4028"/>
  <c r="P122" i="4028"/>
  <c r="O122" i="4028"/>
  <c r="N122" i="4028"/>
  <c r="M122" i="4028"/>
  <c r="L122" i="4028"/>
  <c r="K122" i="4028"/>
  <c r="J122" i="4028"/>
  <c r="I122" i="4028"/>
  <c r="H122" i="4028"/>
  <c r="G122" i="4028"/>
  <c r="F122" i="4028"/>
  <c r="E122" i="4028"/>
  <c r="AR121" i="4028"/>
  <c r="AQ121" i="4028"/>
  <c r="AP121" i="4028"/>
  <c r="AP131" i="4028" s="1"/>
  <c r="AO121" i="4028"/>
  <c r="AO131" i="4028" s="1"/>
  <c r="AN121" i="4028"/>
  <c r="AM121" i="4028"/>
  <c r="AL121" i="4028"/>
  <c r="AK121" i="4028"/>
  <c r="AJ121" i="4028"/>
  <c r="AI121" i="4028"/>
  <c r="AH121" i="4028"/>
  <c r="AG121" i="4028"/>
  <c r="AF121" i="4028"/>
  <c r="AE121" i="4028"/>
  <c r="AD121" i="4028"/>
  <c r="AD131" i="4028" s="1"/>
  <c r="AC121" i="4028"/>
  <c r="AC131" i="4028" s="1"/>
  <c r="AB121" i="4028"/>
  <c r="AA121" i="4028"/>
  <c r="Z121" i="4028"/>
  <c r="Y121" i="4028"/>
  <c r="X121" i="4028"/>
  <c r="W121" i="4028"/>
  <c r="V121" i="4028"/>
  <c r="U121" i="4028"/>
  <c r="T121" i="4028"/>
  <c r="S121" i="4028"/>
  <c r="R121" i="4028"/>
  <c r="Q121" i="4028"/>
  <c r="P121" i="4028"/>
  <c r="O121" i="4028"/>
  <c r="N121" i="4028"/>
  <c r="M121" i="4028"/>
  <c r="L121" i="4028"/>
  <c r="K121" i="4028"/>
  <c r="J121" i="4028"/>
  <c r="I121" i="4028"/>
  <c r="H121" i="4028"/>
  <c r="G121" i="4028"/>
  <c r="F121" i="4028"/>
  <c r="E121" i="4028"/>
  <c r="C118" i="4028"/>
  <c r="AR117" i="4028"/>
  <c r="AQ117" i="4028"/>
  <c r="AP117" i="4028"/>
  <c r="AO117" i="4028"/>
  <c r="AN117" i="4028"/>
  <c r="AM117" i="4028"/>
  <c r="AL117" i="4028"/>
  <c r="AK117" i="4028"/>
  <c r="AJ117" i="4028"/>
  <c r="AI117" i="4028"/>
  <c r="AH117" i="4028"/>
  <c r="AG117" i="4028"/>
  <c r="AF117" i="4028"/>
  <c r="AE117" i="4028"/>
  <c r="AD117" i="4028"/>
  <c r="AC117" i="4028"/>
  <c r="AB117" i="4028"/>
  <c r="AA117" i="4028"/>
  <c r="Z117" i="4028"/>
  <c r="Y117" i="4028"/>
  <c r="X117" i="4028"/>
  <c r="W117" i="4028"/>
  <c r="V117" i="4028"/>
  <c r="U117" i="4028"/>
  <c r="T117" i="4028"/>
  <c r="S117" i="4028"/>
  <c r="R117" i="4028"/>
  <c r="Q117" i="4028"/>
  <c r="P117" i="4028"/>
  <c r="O117" i="4028"/>
  <c r="N117" i="4028"/>
  <c r="M117" i="4028"/>
  <c r="L117" i="4028"/>
  <c r="K117" i="4028"/>
  <c r="J117" i="4028"/>
  <c r="I117" i="4028"/>
  <c r="H117" i="4028"/>
  <c r="G117" i="4028"/>
  <c r="F117" i="4028"/>
  <c r="E117" i="4028"/>
  <c r="AR116" i="4028"/>
  <c r="AQ116" i="4028"/>
  <c r="AP116" i="4028"/>
  <c r="AO116" i="4028"/>
  <c r="AN116" i="4028"/>
  <c r="AM116" i="4028"/>
  <c r="AL116" i="4028"/>
  <c r="AK116" i="4028"/>
  <c r="AJ116" i="4028"/>
  <c r="AI116" i="4028"/>
  <c r="AH116" i="4028"/>
  <c r="AG116" i="4028"/>
  <c r="AF116" i="4028"/>
  <c r="AE116" i="4028"/>
  <c r="AD116" i="4028"/>
  <c r="AC116" i="4028"/>
  <c r="AB116" i="4028"/>
  <c r="AA116" i="4028"/>
  <c r="Z116" i="4028"/>
  <c r="Y116" i="4028"/>
  <c r="X116" i="4028"/>
  <c r="W116" i="4028"/>
  <c r="V116" i="4028"/>
  <c r="U116" i="4028"/>
  <c r="T116" i="4028"/>
  <c r="S116" i="4028"/>
  <c r="R116" i="4028"/>
  <c r="Q116" i="4028"/>
  <c r="P116" i="4028"/>
  <c r="O116" i="4028"/>
  <c r="N116" i="4028"/>
  <c r="M116" i="4028"/>
  <c r="L116" i="4028"/>
  <c r="K116" i="4028"/>
  <c r="J116" i="4028"/>
  <c r="I116" i="4028"/>
  <c r="H116" i="4028"/>
  <c r="G116" i="4028"/>
  <c r="F116" i="4028"/>
  <c r="E116" i="4028"/>
  <c r="C116" i="4028"/>
  <c r="C115" i="4028"/>
  <c r="AR109" i="4028"/>
  <c r="AR124" i="4028" s="1"/>
  <c r="AQ109" i="4028"/>
  <c r="AQ124" i="4028" s="1"/>
  <c r="AP109" i="4028"/>
  <c r="AP124" i="4028" s="1"/>
  <c r="AO109" i="4028"/>
  <c r="AO124" i="4028" s="1"/>
  <c r="AN109" i="4028"/>
  <c r="AM109" i="4028"/>
  <c r="AM124" i="4028" s="1"/>
  <c r="AL109" i="4028"/>
  <c r="AL124" i="4028" s="1"/>
  <c r="AK109" i="4028"/>
  <c r="AJ109" i="4028"/>
  <c r="AJ124" i="4028" s="1"/>
  <c r="AI109" i="4028"/>
  <c r="AI124" i="4028" s="1"/>
  <c r="AH109" i="4028"/>
  <c r="AG109" i="4028"/>
  <c r="AG124" i="4028" s="1"/>
  <c r="AF109" i="4028"/>
  <c r="AF124" i="4028" s="1"/>
  <c r="AE109" i="4028"/>
  <c r="AE124" i="4028" s="1"/>
  <c r="AD109" i="4028"/>
  <c r="AD124" i="4028" s="1"/>
  <c r="AC109" i="4028"/>
  <c r="AC124" i="4028" s="1"/>
  <c r="AB109" i="4028"/>
  <c r="AB124" i="4028" s="1"/>
  <c r="AA109" i="4028"/>
  <c r="AA124" i="4028" s="1"/>
  <c r="Z109" i="4028"/>
  <c r="Z124" i="4028" s="1"/>
  <c r="Y109" i="4028"/>
  <c r="Y124" i="4028" s="1"/>
  <c r="X109" i="4028"/>
  <c r="W109" i="4028"/>
  <c r="V109" i="4028"/>
  <c r="U109" i="4028"/>
  <c r="T109" i="4028"/>
  <c r="S109" i="4028"/>
  <c r="R109" i="4028"/>
  <c r="Q109" i="4028"/>
  <c r="P109" i="4028"/>
  <c r="O109" i="4028"/>
  <c r="N109" i="4028"/>
  <c r="M109" i="4028"/>
  <c r="L109" i="4028"/>
  <c r="K109" i="4028"/>
  <c r="J109" i="4028"/>
  <c r="I109" i="4028"/>
  <c r="H109" i="4028"/>
  <c r="G109" i="4028"/>
  <c r="F109" i="4028"/>
  <c r="E109" i="4028"/>
  <c r="AN124" i="4028"/>
  <c r="AK124" i="4028"/>
  <c r="AH124" i="4028"/>
  <c r="D108" i="4028"/>
  <c r="AR125" i="4028"/>
  <c r="AQ125" i="4028"/>
  <c r="AP125" i="4028"/>
  <c r="AO125" i="4028"/>
  <c r="AN125" i="4028"/>
  <c r="AM125" i="4028"/>
  <c r="AL125" i="4028"/>
  <c r="AK125" i="4028"/>
  <c r="AJ125" i="4028"/>
  <c r="AI125" i="4028"/>
  <c r="AH125" i="4028"/>
  <c r="AG125" i="4028"/>
  <c r="AF125" i="4028"/>
  <c r="AE125" i="4028"/>
  <c r="AD125" i="4028"/>
  <c r="AC125" i="4028"/>
  <c r="AB125" i="4028"/>
  <c r="AA125" i="4028"/>
  <c r="Z125" i="4028"/>
  <c r="Y125" i="4028"/>
  <c r="X125" i="4028"/>
  <c r="W125" i="4028"/>
  <c r="V125" i="4028"/>
  <c r="U125" i="4028"/>
  <c r="T125" i="4028"/>
  <c r="S125" i="4028"/>
  <c r="R125" i="4028"/>
  <c r="Q125" i="4028"/>
  <c r="P125" i="4028"/>
  <c r="O125" i="4028"/>
  <c r="N125" i="4028"/>
  <c r="M125" i="4028"/>
  <c r="L125" i="4028"/>
  <c r="K125" i="4028"/>
  <c r="J125" i="4028"/>
  <c r="I125" i="4028"/>
  <c r="H125" i="4028"/>
  <c r="G125" i="4028"/>
  <c r="F125" i="4028"/>
  <c r="D107" i="4028"/>
  <c r="E106" i="4028"/>
  <c r="F106" i="4028" s="1"/>
  <c r="G106" i="4028" s="1"/>
  <c r="H106" i="4028" s="1"/>
  <c r="I106" i="4028" s="1"/>
  <c r="J106" i="4028" s="1"/>
  <c r="K106" i="4028" s="1"/>
  <c r="L106" i="4028" s="1"/>
  <c r="M106" i="4028" s="1"/>
  <c r="N106" i="4028" s="1"/>
  <c r="O106" i="4028" s="1"/>
  <c r="P106" i="4028" s="1"/>
  <c r="Q106" i="4028" s="1"/>
  <c r="R106" i="4028" s="1"/>
  <c r="S106" i="4028" s="1"/>
  <c r="T106" i="4028" s="1"/>
  <c r="U106" i="4028" s="1"/>
  <c r="V106" i="4028" s="1"/>
  <c r="W106" i="4028" s="1"/>
  <c r="X106" i="4028" s="1"/>
  <c r="Y106" i="4028" s="1"/>
  <c r="Z106" i="4028" s="1"/>
  <c r="AA106" i="4028" s="1"/>
  <c r="AB106" i="4028" s="1"/>
  <c r="AC106" i="4028" s="1"/>
  <c r="AD106" i="4028" s="1"/>
  <c r="AE106" i="4028" s="1"/>
  <c r="AF106" i="4028" s="1"/>
  <c r="AG106" i="4028" s="1"/>
  <c r="AH106" i="4028" s="1"/>
  <c r="AI106" i="4028" s="1"/>
  <c r="AJ106" i="4028" s="1"/>
  <c r="AK106" i="4028" s="1"/>
  <c r="AL106" i="4028" s="1"/>
  <c r="AM106" i="4028" s="1"/>
  <c r="AN106" i="4028" s="1"/>
  <c r="AO106" i="4028" s="1"/>
  <c r="AP106" i="4028" s="1"/>
  <c r="AQ106" i="4028" s="1"/>
  <c r="AR106" i="4028" s="1"/>
  <c r="D85" i="4028"/>
  <c r="D84" i="4028"/>
  <c r="D70" i="4028"/>
  <c r="D65" i="4028"/>
  <c r="D64" i="4028"/>
  <c r="D63" i="4028"/>
  <c r="C60" i="4028"/>
  <c r="D59" i="4028"/>
  <c r="C58" i="4028"/>
  <c r="D57" i="4028"/>
  <c r="C56" i="4028"/>
  <c r="D55" i="4028"/>
  <c r="C53" i="4028"/>
  <c r="D49" i="4028"/>
  <c r="C49" i="4028"/>
  <c r="D48" i="4028"/>
  <c r="E47" i="4028"/>
  <c r="D47" i="4028"/>
  <c r="E46" i="4028"/>
  <c r="D46" i="4028"/>
  <c r="E45" i="4028"/>
  <c r="D45" i="4028"/>
  <c r="C44" i="4028"/>
  <c r="C152" i="4028"/>
  <c r="C35" i="4028"/>
  <c r="C33" i="4028"/>
  <c r="C27" i="4028"/>
  <c r="C25" i="4028"/>
  <c r="E13" i="4028"/>
  <c r="D13" i="4028"/>
  <c r="E12" i="4028"/>
  <c r="C8" i="4028"/>
  <c r="D43" i="4028" s="1"/>
  <c r="D5" i="4028"/>
  <c r="C154" i="4027"/>
  <c r="D151" i="4027"/>
  <c r="AR147" i="4027"/>
  <c r="AQ147" i="4027"/>
  <c r="AP147" i="4027"/>
  <c r="AO147" i="4027"/>
  <c r="AN147" i="4027"/>
  <c r="AM147" i="4027"/>
  <c r="AL147" i="4027"/>
  <c r="AK147" i="4027"/>
  <c r="AJ147" i="4027"/>
  <c r="AI147" i="4027"/>
  <c r="AH147" i="4027"/>
  <c r="AG147" i="4027"/>
  <c r="AF147" i="4027"/>
  <c r="AE147" i="4027"/>
  <c r="AD147" i="4027"/>
  <c r="AC147" i="4027"/>
  <c r="AB147" i="4027"/>
  <c r="AA147" i="4027"/>
  <c r="Z147" i="4027"/>
  <c r="Y147" i="4027"/>
  <c r="X147" i="4027"/>
  <c r="W147" i="4027"/>
  <c r="V147" i="4027"/>
  <c r="U147" i="4027"/>
  <c r="T147" i="4027"/>
  <c r="AR145" i="4027"/>
  <c r="AQ145" i="4027"/>
  <c r="AP145" i="4027"/>
  <c r="AO145" i="4027"/>
  <c r="AN145" i="4027"/>
  <c r="AM145" i="4027"/>
  <c r="AL145" i="4027"/>
  <c r="AK145" i="4027"/>
  <c r="AJ145" i="4027"/>
  <c r="AI145" i="4027"/>
  <c r="AH145" i="4027"/>
  <c r="AG145" i="4027"/>
  <c r="AF145" i="4027"/>
  <c r="AE145" i="4027"/>
  <c r="AD145" i="4027"/>
  <c r="AC145" i="4027"/>
  <c r="AB145" i="4027"/>
  <c r="AA145" i="4027"/>
  <c r="Z145" i="4027"/>
  <c r="Y145" i="4027"/>
  <c r="X145" i="4027"/>
  <c r="W145" i="4027"/>
  <c r="V145" i="4027"/>
  <c r="U145" i="4027"/>
  <c r="T145" i="4027"/>
  <c r="C145" i="4027"/>
  <c r="AR136" i="4027"/>
  <c r="AQ136" i="4027"/>
  <c r="AP136" i="4027"/>
  <c r="AO136" i="4027"/>
  <c r="AN136" i="4027"/>
  <c r="AM136" i="4027"/>
  <c r="AL136" i="4027"/>
  <c r="AK136" i="4027"/>
  <c r="AJ136" i="4027"/>
  <c r="AI136" i="4027"/>
  <c r="AH136" i="4027"/>
  <c r="AG136" i="4027"/>
  <c r="AF136" i="4027"/>
  <c r="AE136" i="4027"/>
  <c r="AD136" i="4027"/>
  <c r="AC136" i="4027"/>
  <c r="AB136" i="4027"/>
  <c r="AA136" i="4027"/>
  <c r="Z136" i="4027"/>
  <c r="Y136" i="4027"/>
  <c r="X136" i="4027"/>
  <c r="W136" i="4027"/>
  <c r="V136" i="4027"/>
  <c r="U136" i="4027"/>
  <c r="T136" i="4027"/>
  <c r="AR135" i="4027"/>
  <c r="AQ135" i="4027"/>
  <c r="AP135" i="4027"/>
  <c r="AO135" i="4027"/>
  <c r="AN135" i="4027"/>
  <c r="AM135" i="4027"/>
  <c r="AL135" i="4027"/>
  <c r="AK135" i="4027"/>
  <c r="AJ135" i="4027"/>
  <c r="AI135" i="4027"/>
  <c r="AH135" i="4027"/>
  <c r="AG135" i="4027"/>
  <c r="AF135" i="4027"/>
  <c r="AE135" i="4027"/>
  <c r="AD135" i="4027"/>
  <c r="AC135" i="4027"/>
  <c r="AB135" i="4027"/>
  <c r="AA135" i="4027"/>
  <c r="Z135" i="4027"/>
  <c r="Y135" i="4027"/>
  <c r="X135" i="4027"/>
  <c r="W135" i="4027"/>
  <c r="V135" i="4027"/>
  <c r="U135" i="4027"/>
  <c r="T135" i="4027"/>
  <c r="AR134" i="4027"/>
  <c r="AQ134" i="4027"/>
  <c r="AP134" i="4027"/>
  <c r="AO134" i="4027"/>
  <c r="AN134" i="4027"/>
  <c r="AM134" i="4027"/>
  <c r="AL134" i="4027"/>
  <c r="AK134" i="4027"/>
  <c r="AJ134" i="4027"/>
  <c r="AI134" i="4027"/>
  <c r="AH134" i="4027"/>
  <c r="AG134" i="4027"/>
  <c r="AF134" i="4027"/>
  <c r="AE134" i="4027"/>
  <c r="AD134" i="4027"/>
  <c r="AC134" i="4027"/>
  <c r="AB134" i="4027"/>
  <c r="AA134" i="4027"/>
  <c r="Z134" i="4027"/>
  <c r="Y134" i="4027"/>
  <c r="X134" i="4027"/>
  <c r="W134" i="4027"/>
  <c r="V134" i="4027"/>
  <c r="U134" i="4027"/>
  <c r="T134" i="4027"/>
  <c r="E125" i="4027"/>
  <c r="C125" i="4027"/>
  <c r="E124" i="4027"/>
  <c r="C124" i="4027"/>
  <c r="AR123" i="4027"/>
  <c r="AQ123" i="4027"/>
  <c r="AP123" i="4027"/>
  <c r="AO123" i="4027"/>
  <c r="AN123" i="4027"/>
  <c r="AM123" i="4027"/>
  <c r="AL123" i="4027"/>
  <c r="AK123" i="4027"/>
  <c r="AJ123" i="4027"/>
  <c r="AI123" i="4027"/>
  <c r="AH123" i="4027"/>
  <c r="AG123" i="4027"/>
  <c r="AF123" i="4027"/>
  <c r="AE123" i="4027"/>
  <c r="AD123" i="4027"/>
  <c r="AC123" i="4027"/>
  <c r="AB123" i="4027"/>
  <c r="AA123" i="4027"/>
  <c r="Z123" i="4027"/>
  <c r="Y123" i="4027"/>
  <c r="X123" i="4027"/>
  <c r="W123" i="4027"/>
  <c r="V123" i="4027"/>
  <c r="U123" i="4027"/>
  <c r="T123" i="4027"/>
  <c r="S123" i="4027"/>
  <c r="R123" i="4027"/>
  <c r="Q123" i="4027"/>
  <c r="P123" i="4027"/>
  <c r="O123" i="4027"/>
  <c r="N123" i="4027"/>
  <c r="M123" i="4027"/>
  <c r="L123" i="4027"/>
  <c r="K123" i="4027"/>
  <c r="J123" i="4027"/>
  <c r="I123" i="4027"/>
  <c r="H123" i="4027"/>
  <c r="G123" i="4027"/>
  <c r="F123" i="4027"/>
  <c r="E123" i="4027"/>
  <c r="AR122" i="4027"/>
  <c r="AQ122" i="4027"/>
  <c r="AP122" i="4027"/>
  <c r="AO122" i="4027"/>
  <c r="AN122" i="4027"/>
  <c r="AM122" i="4027"/>
  <c r="AL122" i="4027"/>
  <c r="AK122" i="4027"/>
  <c r="AJ122" i="4027"/>
  <c r="AI122" i="4027"/>
  <c r="AH122" i="4027"/>
  <c r="AG122" i="4027"/>
  <c r="AF122" i="4027"/>
  <c r="AE122" i="4027"/>
  <c r="AD122" i="4027"/>
  <c r="AC122" i="4027"/>
  <c r="AB122" i="4027"/>
  <c r="AA122" i="4027"/>
  <c r="Z122" i="4027"/>
  <c r="Y122" i="4027"/>
  <c r="S122" i="4027"/>
  <c r="R122" i="4027"/>
  <c r="Q122" i="4027"/>
  <c r="P122" i="4027"/>
  <c r="O122" i="4027"/>
  <c r="N122" i="4027"/>
  <c r="M122" i="4027"/>
  <c r="L122" i="4027"/>
  <c r="K122" i="4027"/>
  <c r="J122" i="4027"/>
  <c r="I122" i="4027"/>
  <c r="H122" i="4027"/>
  <c r="G122" i="4027"/>
  <c r="F122" i="4027"/>
  <c r="E122" i="4027"/>
  <c r="AR121" i="4027"/>
  <c r="AQ121" i="4027"/>
  <c r="AP121" i="4027"/>
  <c r="AO121" i="4027"/>
  <c r="AN121" i="4027"/>
  <c r="AM121" i="4027"/>
  <c r="AL121" i="4027"/>
  <c r="AK121" i="4027"/>
  <c r="AJ121" i="4027"/>
  <c r="AI121" i="4027"/>
  <c r="AH121" i="4027"/>
  <c r="AG121" i="4027"/>
  <c r="AF121" i="4027"/>
  <c r="AE121" i="4027"/>
  <c r="AD121" i="4027"/>
  <c r="AC121" i="4027"/>
  <c r="AB121" i="4027"/>
  <c r="AA121" i="4027"/>
  <c r="Z121" i="4027"/>
  <c r="Y121" i="4027"/>
  <c r="X121" i="4027"/>
  <c r="W121" i="4027"/>
  <c r="V121" i="4027"/>
  <c r="U121" i="4027"/>
  <c r="T121" i="4027"/>
  <c r="S121" i="4027"/>
  <c r="R121" i="4027"/>
  <c r="Q121" i="4027"/>
  <c r="P121" i="4027"/>
  <c r="O121" i="4027"/>
  <c r="N121" i="4027"/>
  <c r="M121" i="4027"/>
  <c r="L121" i="4027"/>
  <c r="K121" i="4027"/>
  <c r="J121" i="4027"/>
  <c r="I121" i="4027"/>
  <c r="H121" i="4027"/>
  <c r="G121" i="4027"/>
  <c r="F121" i="4027"/>
  <c r="E121" i="4027"/>
  <c r="C118" i="4027"/>
  <c r="AR117" i="4027"/>
  <c r="AQ117" i="4027"/>
  <c r="AP117" i="4027"/>
  <c r="AO117" i="4027"/>
  <c r="AN117" i="4027"/>
  <c r="AM117" i="4027"/>
  <c r="AL117" i="4027"/>
  <c r="AK117" i="4027"/>
  <c r="AJ117" i="4027"/>
  <c r="AI117" i="4027"/>
  <c r="AH117" i="4027"/>
  <c r="AG117" i="4027"/>
  <c r="AF117" i="4027"/>
  <c r="AE117" i="4027"/>
  <c r="AD117" i="4027"/>
  <c r="AC117" i="4027"/>
  <c r="AB117" i="4027"/>
  <c r="AA117" i="4027"/>
  <c r="Z117" i="4027"/>
  <c r="Y117" i="4027"/>
  <c r="X117" i="4027"/>
  <c r="W117" i="4027"/>
  <c r="V117" i="4027"/>
  <c r="U117" i="4027"/>
  <c r="T117" i="4027"/>
  <c r="S117" i="4027"/>
  <c r="R117" i="4027"/>
  <c r="Q117" i="4027"/>
  <c r="P117" i="4027"/>
  <c r="O117" i="4027"/>
  <c r="N117" i="4027"/>
  <c r="M117" i="4027"/>
  <c r="L117" i="4027"/>
  <c r="K117" i="4027"/>
  <c r="J117" i="4027"/>
  <c r="I117" i="4027"/>
  <c r="H117" i="4027"/>
  <c r="G117" i="4027"/>
  <c r="F117" i="4027"/>
  <c r="E117" i="4027"/>
  <c r="AR116" i="4027"/>
  <c r="AQ116" i="4027"/>
  <c r="AP116" i="4027"/>
  <c r="AO116" i="4027"/>
  <c r="AN116" i="4027"/>
  <c r="AM116" i="4027"/>
  <c r="AL116" i="4027"/>
  <c r="AK116" i="4027"/>
  <c r="AJ116" i="4027"/>
  <c r="AI116" i="4027"/>
  <c r="AH116" i="4027"/>
  <c r="AG116" i="4027"/>
  <c r="AF116" i="4027"/>
  <c r="AE116" i="4027"/>
  <c r="AD116" i="4027"/>
  <c r="AC116" i="4027"/>
  <c r="AB116" i="4027"/>
  <c r="AA116" i="4027"/>
  <c r="Z116" i="4027"/>
  <c r="Y116" i="4027"/>
  <c r="X116" i="4027"/>
  <c r="W116" i="4027"/>
  <c r="V116" i="4027"/>
  <c r="U116" i="4027"/>
  <c r="T116" i="4027"/>
  <c r="S116" i="4027"/>
  <c r="R116" i="4027"/>
  <c r="Q116" i="4027"/>
  <c r="P116" i="4027"/>
  <c r="O116" i="4027"/>
  <c r="N116" i="4027"/>
  <c r="M116" i="4027"/>
  <c r="L116" i="4027"/>
  <c r="K116" i="4027"/>
  <c r="J116" i="4027"/>
  <c r="I116" i="4027"/>
  <c r="H116" i="4027"/>
  <c r="G116" i="4027"/>
  <c r="F116" i="4027"/>
  <c r="E116" i="4027"/>
  <c r="C116" i="4027"/>
  <c r="C115" i="4027"/>
  <c r="AR109" i="4027"/>
  <c r="AR124" i="4027" s="1"/>
  <c r="AQ109" i="4027"/>
  <c r="AQ124" i="4027" s="1"/>
  <c r="AP109" i="4027"/>
  <c r="AP124" i="4027" s="1"/>
  <c r="AO109" i="4027"/>
  <c r="AO124" i="4027" s="1"/>
  <c r="AN109" i="4027"/>
  <c r="AN124" i="4027" s="1"/>
  <c r="AM109" i="4027"/>
  <c r="AM124" i="4027" s="1"/>
  <c r="AL109" i="4027"/>
  <c r="AL124" i="4027" s="1"/>
  <c r="AK109" i="4027"/>
  <c r="AK124" i="4027" s="1"/>
  <c r="AJ109" i="4027"/>
  <c r="AJ124" i="4027" s="1"/>
  <c r="AI109" i="4027"/>
  <c r="AI124" i="4027" s="1"/>
  <c r="AH109" i="4027"/>
  <c r="AH124" i="4027" s="1"/>
  <c r="AG109" i="4027"/>
  <c r="AG124" i="4027" s="1"/>
  <c r="AF109" i="4027"/>
  <c r="AF124" i="4027" s="1"/>
  <c r="AE109" i="4027"/>
  <c r="AE124" i="4027" s="1"/>
  <c r="AD109" i="4027"/>
  <c r="AC109" i="4027"/>
  <c r="AC124" i="4027" s="1"/>
  <c r="AB109" i="4027"/>
  <c r="AB124" i="4027" s="1"/>
  <c r="AA109" i="4027"/>
  <c r="AA124" i="4027" s="1"/>
  <c r="Z109" i="4027"/>
  <c r="Z124" i="4027" s="1"/>
  <c r="Y109" i="4027"/>
  <c r="Y124" i="4027" s="1"/>
  <c r="X109" i="4027"/>
  <c r="W109" i="4027"/>
  <c r="V109" i="4027"/>
  <c r="U109" i="4027"/>
  <c r="T109" i="4027"/>
  <c r="S109" i="4027"/>
  <c r="R109" i="4027"/>
  <c r="Q109" i="4027"/>
  <c r="P109" i="4027"/>
  <c r="O109" i="4027"/>
  <c r="N109" i="4027"/>
  <c r="M109" i="4027"/>
  <c r="L109" i="4027"/>
  <c r="K109" i="4027"/>
  <c r="J109" i="4027"/>
  <c r="I109" i="4027"/>
  <c r="H109" i="4027"/>
  <c r="G109" i="4027"/>
  <c r="F109" i="4027"/>
  <c r="E109" i="4027"/>
  <c r="AD124" i="4027"/>
  <c r="D108" i="4027"/>
  <c r="AR125" i="4027"/>
  <c r="AQ125" i="4027"/>
  <c r="AP125" i="4027"/>
  <c r="AO125" i="4027"/>
  <c r="AN125" i="4027"/>
  <c r="AM125" i="4027"/>
  <c r="AL125" i="4027"/>
  <c r="AK125" i="4027"/>
  <c r="AJ125" i="4027"/>
  <c r="AI125" i="4027"/>
  <c r="AH125" i="4027"/>
  <c r="AG125" i="4027"/>
  <c r="AF125" i="4027"/>
  <c r="AE125" i="4027"/>
  <c r="AD125" i="4027"/>
  <c r="AC125" i="4027"/>
  <c r="AB125" i="4027"/>
  <c r="AA125" i="4027"/>
  <c r="Z125" i="4027"/>
  <c r="Y125" i="4027"/>
  <c r="X125" i="4027"/>
  <c r="W125" i="4027"/>
  <c r="V125" i="4027"/>
  <c r="U125" i="4027"/>
  <c r="T125" i="4027"/>
  <c r="S125" i="4027"/>
  <c r="R125" i="4027"/>
  <c r="Q125" i="4027"/>
  <c r="P125" i="4027"/>
  <c r="O125" i="4027"/>
  <c r="N125" i="4027"/>
  <c r="M125" i="4027"/>
  <c r="L125" i="4027"/>
  <c r="K125" i="4027"/>
  <c r="J125" i="4027"/>
  <c r="I125" i="4027"/>
  <c r="H125" i="4027"/>
  <c r="G125" i="4027"/>
  <c r="F125" i="4027"/>
  <c r="D107" i="4027"/>
  <c r="E106" i="4027"/>
  <c r="F106" i="4027" s="1"/>
  <c r="G106" i="4027" s="1"/>
  <c r="H106" i="4027" s="1"/>
  <c r="I106" i="4027" s="1"/>
  <c r="J106" i="4027" s="1"/>
  <c r="K106" i="4027" s="1"/>
  <c r="L106" i="4027" s="1"/>
  <c r="M106" i="4027" s="1"/>
  <c r="N106" i="4027" s="1"/>
  <c r="O106" i="4027" s="1"/>
  <c r="P106" i="4027" s="1"/>
  <c r="Q106" i="4027" s="1"/>
  <c r="R106" i="4027" s="1"/>
  <c r="S106" i="4027" s="1"/>
  <c r="T106" i="4027" s="1"/>
  <c r="U106" i="4027" s="1"/>
  <c r="V106" i="4027" s="1"/>
  <c r="W106" i="4027" s="1"/>
  <c r="X106" i="4027" s="1"/>
  <c r="Y106" i="4027" s="1"/>
  <c r="Z106" i="4027" s="1"/>
  <c r="AA106" i="4027" s="1"/>
  <c r="AB106" i="4027" s="1"/>
  <c r="AC106" i="4027" s="1"/>
  <c r="AD106" i="4027" s="1"/>
  <c r="AE106" i="4027" s="1"/>
  <c r="AF106" i="4027" s="1"/>
  <c r="AG106" i="4027" s="1"/>
  <c r="AH106" i="4027" s="1"/>
  <c r="AI106" i="4027" s="1"/>
  <c r="AJ106" i="4027" s="1"/>
  <c r="AK106" i="4027" s="1"/>
  <c r="AL106" i="4027" s="1"/>
  <c r="AM106" i="4027" s="1"/>
  <c r="AN106" i="4027" s="1"/>
  <c r="AO106" i="4027" s="1"/>
  <c r="AP106" i="4027" s="1"/>
  <c r="AQ106" i="4027" s="1"/>
  <c r="AR106" i="4027" s="1"/>
  <c r="D85" i="4027"/>
  <c r="D84" i="4027"/>
  <c r="D70" i="4027"/>
  <c r="D65" i="4027"/>
  <c r="D64" i="4027"/>
  <c r="D63" i="4027"/>
  <c r="C60" i="4027"/>
  <c r="D59" i="4027"/>
  <c r="C58" i="4027"/>
  <c r="D57" i="4027"/>
  <c r="C56" i="4027"/>
  <c r="D55" i="4027"/>
  <c r="C53" i="4027"/>
  <c r="D49" i="4027"/>
  <c r="C49" i="4027"/>
  <c r="D48" i="4027"/>
  <c r="E47" i="4027"/>
  <c r="D47" i="4027"/>
  <c r="E46" i="4027"/>
  <c r="D46" i="4027"/>
  <c r="E45" i="4027"/>
  <c r="D45" i="4027"/>
  <c r="C44" i="4027"/>
  <c r="C152" i="4027"/>
  <c r="C35" i="4027"/>
  <c r="C33" i="4027"/>
  <c r="C27" i="4027"/>
  <c r="C25" i="4027"/>
  <c r="E13" i="4027"/>
  <c r="D13" i="4027"/>
  <c r="E12" i="4027"/>
  <c r="C8" i="4027"/>
  <c r="D43" i="4027" s="1"/>
  <c r="D5" i="4027"/>
  <c r="C154" i="4026"/>
  <c r="D151" i="4026"/>
  <c r="AR147" i="4026"/>
  <c r="AQ147" i="4026"/>
  <c r="AP147" i="4026"/>
  <c r="AO147" i="4026"/>
  <c r="AN147" i="4026"/>
  <c r="AM147" i="4026"/>
  <c r="AL147" i="4026"/>
  <c r="AK147" i="4026"/>
  <c r="AJ147" i="4026"/>
  <c r="AI147" i="4026"/>
  <c r="AH147" i="4026"/>
  <c r="AG147" i="4026"/>
  <c r="AF147" i="4026"/>
  <c r="AE147" i="4026"/>
  <c r="AD147" i="4026"/>
  <c r="AC147" i="4026"/>
  <c r="AB147" i="4026"/>
  <c r="AA147" i="4026"/>
  <c r="Z147" i="4026"/>
  <c r="Y147" i="4026"/>
  <c r="X147" i="4026"/>
  <c r="W147" i="4026"/>
  <c r="V147" i="4026"/>
  <c r="U147" i="4026"/>
  <c r="T147" i="4026"/>
  <c r="AR145" i="4026"/>
  <c r="AQ145" i="4026"/>
  <c r="AP145" i="4026"/>
  <c r="AO145" i="4026"/>
  <c r="AN145" i="4026"/>
  <c r="AM145" i="4026"/>
  <c r="AL145" i="4026"/>
  <c r="AK145" i="4026"/>
  <c r="AJ145" i="4026"/>
  <c r="AI145" i="4026"/>
  <c r="AH145" i="4026"/>
  <c r="AG145" i="4026"/>
  <c r="AF145" i="4026"/>
  <c r="AE145" i="4026"/>
  <c r="AD145" i="4026"/>
  <c r="AC145" i="4026"/>
  <c r="AB145" i="4026"/>
  <c r="AA145" i="4026"/>
  <c r="Z145" i="4026"/>
  <c r="Y145" i="4026"/>
  <c r="X145" i="4026"/>
  <c r="W145" i="4026"/>
  <c r="V145" i="4026"/>
  <c r="U145" i="4026"/>
  <c r="T145" i="4026"/>
  <c r="C145" i="4026"/>
  <c r="AR136" i="4026"/>
  <c r="AQ136" i="4026"/>
  <c r="AP136" i="4026"/>
  <c r="AO136" i="4026"/>
  <c r="AN136" i="4026"/>
  <c r="AM136" i="4026"/>
  <c r="AL136" i="4026"/>
  <c r="AK136" i="4026"/>
  <c r="AJ136" i="4026"/>
  <c r="AI136" i="4026"/>
  <c r="AH136" i="4026"/>
  <c r="AG136" i="4026"/>
  <c r="AF136" i="4026"/>
  <c r="AE136" i="4026"/>
  <c r="AD136" i="4026"/>
  <c r="AC136" i="4026"/>
  <c r="AB136" i="4026"/>
  <c r="AA136" i="4026"/>
  <c r="Z136" i="4026"/>
  <c r="Y136" i="4026"/>
  <c r="X136" i="4026"/>
  <c r="W136" i="4026"/>
  <c r="V136" i="4026"/>
  <c r="U136" i="4026"/>
  <c r="T136" i="4026"/>
  <c r="AR135" i="4026"/>
  <c r="AQ135" i="4026"/>
  <c r="AP135" i="4026"/>
  <c r="AO135" i="4026"/>
  <c r="AN135" i="4026"/>
  <c r="AM135" i="4026"/>
  <c r="AL135" i="4026"/>
  <c r="AK135" i="4026"/>
  <c r="AJ135" i="4026"/>
  <c r="AI135" i="4026"/>
  <c r="AH135" i="4026"/>
  <c r="AG135" i="4026"/>
  <c r="AF135" i="4026"/>
  <c r="AE135" i="4026"/>
  <c r="AD135" i="4026"/>
  <c r="AC135" i="4026"/>
  <c r="AB135" i="4026"/>
  <c r="AA135" i="4026"/>
  <c r="Z135" i="4026"/>
  <c r="Y135" i="4026"/>
  <c r="X135" i="4026"/>
  <c r="W135" i="4026"/>
  <c r="V135" i="4026"/>
  <c r="U135" i="4026"/>
  <c r="T135" i="4026"/>
  <c r="AR134" i="4026"/>
  <c r="AQ134" i="4026"/>
  <c r="AP134" i="4026"/>
  <c r="AO134" i="4026"/>
  <c r="AN134" i="4026"/>
  <c r="AM134" i="4026"/>
  <c r="AL134" i="4026"/>
  <c r="AK134" i="4026"/>
  <c r="AJ134" i="4026"/>
  <c r="AI134" i="4026"/>
  <c r="AH134" i="4026"/>
  <c r="AG134" i="4026"/>
  <c r="AF134" i="4026"/>
  <c r="AE134" i="4026"/>
  <c r="AD134" i="4026"/>
  <c r="AC134" i="4026"/>
  <c r="AB134" i="4026"/>
  <c r="AA134" i="4026"/>
  <c r="Z134" i="4026"/>
  <c r="Y134" i="4026"/>
  <c r="X134" i="4026"/>
  <c r="W134" i="4026"/>
  <c r="V134" i="4026"/>
  <c r="U134" i="4026"/>
  <c r="T134" i="4026"/>
  <c r="E125" i="4026"/>
  <c r="C125" i="4026"/>
  <c r="E124" i="4026"/>
  <c r="C124" i="4026"/>
  <c r="AR123" i="4026"/>
  <c r="AQ123" i="4026"/>
  <c r="AP123" i="4026"/>
  <c r="AO123" i="4026"/>
  <c r="AN123" i="4026"/>
  <c r="AM123" i="4026"/>
  <c r="AL123" i="4026"/>
  <c r="AK123" i="4026"/>
  <c r="AJ123" i="4026"/>
  <c r="AI123" i="4026"/>
  <c r="AH123" i="4026"/>
  <c r="AG123" i="4026"/>
  <c r="AF123" i="4026"/>
  <c r="AE123" i="4026"/>
  <c r="AD123" i="4026"/>
  <c r="AC123" i="4026"/>
  <c r="AB123" i="4026"/>
  <c r="AA123" i="4026"/>
  <c r="Z123" i="4026"/>
  <c r="Y123" i="4026"/>
  <c r="X123" i="4026"/>
  <c r="W123" i="4026"/>
  <c r="V123" i="4026"/>
  <c r="U123" i="4026"/>
  <c r="T123" i="4026"/>
  <c r="S123" i="4026"/>
  <c r="R123" i="4026"/>
  <c r="Q123" i="4026"/>
  <c r="P123" i="4026"/>
  <c r="O123" i="4026"/>
  <c r="N123" i="4026"/>
  <c r="M123" i="4026"/>
  <c r="L123" i="4026"/>
  <c r="K123" i="4026"/>
  <c r="J123" i="4026"/>
  <c r="I123" i="4026"/>
  <c r="H123" i="4026"/>
  <c r="G123" i="4026"/>
  <c r="F123" i="4026"/>
  <c r="E123" i="4026"/>
  <c r="AR122" i="4026"/>
  <c r="AQ122" i="4026"/>
  <c r="AP122" i="4026"/>
  <c r="AO122" i="4026"/>
  <c r="AN122" i="4026"/>
  <c r="AM122" i="4026"/>
  <c r="AL122" i="4026"/>
  <c r="AK122" i="4026"/>
  <c r="AJ122" i="4026"/>
  <c r="AI122" i="4026"/>
  <c r="AH122" i="4026"/>
  <c r="AG122" i="4026"/>
  <c r="AF122" i="4026"/>
  <c r="AE122" i="4026"/>
  <c r="AD122" i="4026"/>
  <c r="AC122" i="4026"/>
  <c r="AB122" i="4026"/>
  <c r="AA122" i="4026"/>
  <c r="Z122" i="4026"/>
  <c r="Y122" i="4026"/>
  <c r="S122" i="4026"/>
  <c r="R122" i="4026"/>
  <c r="Q122" i="4026"/>
  <c r="P122" i="4026"/>
  <c r="O122" i="4026"/>
  <c r="N122" i="4026"/>
  <c r="M122" i="4026"/>
  <c r="L122" i="4026"/>
  <c r="K122" i="4026"/>
  <c r="J122" i="4026"/>
  <c r="I122" i="4026"/>
  <c r="H122" i="4026"/>
  <c r="G122" i="4026"/>
  <c r="F122" i="4026"/>
  <c r="E122" i="4026"/>
  <c r="AR121" i="4026"/>
  <c r="AQ121" i="4026"/>
  <c r="AP121" i="4026"/>
  <c r="AO121" i="4026"/>
  <c r="AN121" i="4026"/>
  <c r="AM121" i="4026"/>
  <c r="AL121" i="4026"/>
  <c r="AK121" i="4026"/>
  <c r="AJ121" i="4026"/>
  <c r="AI121" i="4026"/>
  <c r="AH121" i="4026"/>
  <c r="AG121" i="4026"/>
  <c r="AF121" i="4026"/>
  <c r="AE121" i="4026"/>
  <c r="AD121" i="4026"/>
  <c r="AC121" i="4026"/>
  <c r="AB121" i="4026"/>
  <c r="AA121" i="4026"/>
  <c r="Z121" i="4026"/>
  <c r="Y121" i="4026"/>
  <c r="X121" i="4026"/>
  <c r="W121" i="4026"/>
  <c r="V121" i="4026"/>
  <c r="U121" i="4026"/>
  <c r="T121" i="4026"/>
  <c r="S121" i="4026"/>
  <c r="R121" i="4026"/>
  <c r="Q121" i="4026"/>
  <c r="P121" i="4026"/>
  <c r="O121" i="4026"/>
  <c r="N121" i="4026"/>
  <c r="M121" i="4026"/>
  <c r="L121" i="4026"/>
  <c r="K121" i="4026"/>
  <c r="J121" i="4026"/>
  <c r="I121" i="4026"/>
  <c r="H121" i="4026"/>
  <c r="G121" i="4026"/>
  <c r="F121" i="4026"/>
  <c r="E121" i="4026"/>
  <c r="C118" i="4026"/>
  <c r="AR117" i="4026"/>
  <c r="AQ117" i="4026"/>
  <c r="AP117" i="4026"/>
  <c r="AO117" i="4026"/>
  <c r="AN117" i="4026"/>
  <c r="AM117" i="4026"/>
  <c r="AL117" i="4026"/>
  <c r="AK117" i="4026"/>
  <c r="AJ117" i="4026"/>
  <c r="AI117" i="4026"/>
  <c r="AH117" i="4026"/>
  <c r="AG117" i="4026"/>
  <c r="AF117" i="4026"/>
  <c r="AE117" i="4026"/>
  <c r="AD117" i="4026"/>
  <c r="AC117" i="4026"/>
  <c r="AB117" i="4026"/>
  <c r="AA117" i="4026"/>
  <c r="Z117" i="4026"/>
  <c r="Y117" i="4026"/>
  <c r="X117" i="4026"/>
  <c r="W117" i="4026"/>
  <c r="V117" i="4026"/>
  <c r="U117" i="4026"/>
  <c r="T117" i="4026"/>
  <c r="S117" i="4026"/>
  <c r="R117" i="4026"/>
  <c r="Q117" i="4026"/>
  <c r="P117" i="4026"/>
  <c r="O117" i="4026"/>
  <c r="N117" i="4026"/>
  <c r="M117" i="4026"/>
  <c r="L117" i="4026"/>
  <c r="K117" i="4026"/>
  <c r="J117" i="4026"/>
  <c r="I117" i="4026"/>
  <c r="H117" i="4026"/>
  <c r="G117" i="4026"/>
  <c r="F117" i="4026"/>
  <c r="E117" i="4026"/>
  <c r="AR116" i="4026"/>
  <c r="AQ116" i="4026"/>
  <c r="AP116" i="4026"/>
  <c r="AO116" i="4026"/>
  <c r="AN116" i="4026"/>
  <c r="AM116" i="4026"/>
  <c r="AL116" i="4026"/>
  <c r="AK116" i="4026"/>
  <c r="AJ116" i="4026"/>
  <c r="AI116" i="4026"/>
  <c r="AH116" i="4026"/>
  <c r="AG116" i="4026"/>
  <c r="AF116" i="4026"/>
  <c r="AE116" i="4026"/>
  <c r="AD116" i="4026"/>
  <c r="AC116" i="4026"/>
  <c r="AB116" i="4026"/>
  <c r="AA116" i="4026"/>
  <c r="Z116" i="4026"/>
  <c r="Y116" i="4026"/>
  <c r="X116" i="4026"/>
  <c r="W116" i="4026"/>
  <c r="V116" i="4026"/>
  <c r="U116" i="4026"/>
  <c r="T116" i="4026"/>
  <c r="S116" i="4026"/>
  <c r="R116" i="4026"/>
  <c r="Q116" i="4026"/>
  <c r="P116" i="4026"/>
  <c r="O116" i="4026"/>
  <c r="N116" i="4026"/>
  <c r="M116" i="4026"/>
  <c r="L116" i="4026"/>
  <c r="K116" i="4026"/>
  <c r="J116" i="4026"/>
  <c r="I116" i="4026"/>
  <c r="H116" i="4026"/>
  <c r="G116" i="4026"/>
  <c r="F116" i="4026"/>
  <c r="E116" i="4026"/>
  <c r="C116" i="4026"/>
  <c r="C115" i="4026"/>
  <c r="AR109" i="4026"/>
  <c r="AR124" i="4026" s="1"/>
  <c r="AQ109" i="4026"/>
  <c r="AQ124" i="4026" s="1"/>
  <c r="AP109" i="4026"/>
  <c r="AO109" i="4026"/>
  <c r="AO124" i="4026" s="1"/>
  <c r="AN109" i="4026"/>
  <c r="AN124" i="4026" s="1"/>
  <c r="AM109" i="4026"/>
  <c r="AM124" i="4026" s="1"/>
  <c r="AL109" i="4026"/>
  <c r="AL124" i="4026" s="1"/>
  <c r="AK109" i="4026"/>
  <c r="AK124" i="4026" s="1"/>
  <c r="AJ109" i="4026"/>
  <c r="AJ124" i="4026" s="1"/>
  <c r="AI109" i="4026"/>
  <c r="AI124" i="4026" s="1"/>
  <c r="AH109" i="4026"/>
  <c r="AH124" i="4026" s="1"/>
  <c r="AG109" i="4026"/>
  <c r="AG124" i="4026" s="1"/>
  <c r="AF109" i="4026"/>
  <c r="AF124" i="4026" s="1"/>
  <c r="AE109" i="4026"/>
  <c r="AE124" i="4026" s="1"/>
  <c r="AD109" i="4026"/>
  <c r="AD124" i="4026" s="1"/>
  <c r="AC109" i="4026"/>
  <c r="AC124" i="4026" s="1"/>
  <c r="AB109" i="4026"/>
  <c r="AB124" i="4026" s="1"/>
  <c r="AA109" i="4026"/>
  <c r="AA124" i="4026" s="1"/>
  <c r="Z109" i="4026"/>
  <c r="Z124" i="4026" s="1"/>
  <c r="Y109" i="4026"/>
  <c r="Y124" i="4026" s="1"/>
  <c r="X109" i="4026"/>
  <c r="W109" i="4026"/>
  <c r="V109" i="4026"/>
  <c r="U109" i="4026"/>
  <c r="T109" i="4026"/>
  <c r="S109" i="4026"/>
  <c r="R109" i="4026"/>
  <c r="Q109" i="4026"/>
  <c r="P109" i="4026"/>
  <c r="O109" i="4026"/>
  <c r="N109" i="4026"/>
  <c r="M109" i="4026"/>
  <c r="L109" i="4026"/>
  <c r="K109" i="4026"/>
  <c r="J109" i="4026"/>
  <c r="I109" i="4026"/>
  <c r="H109" i="4026"/>
  <c r="G109" i="4026"/>
  <c r="F109" i="4026"/>
  <c r="E109" i="4026"/>
  <c r="AP124" i="4026"/>
  <c r="D108" i="4026"/>
  <c r="AR125" i="4026"/>
  <c r="AQ125" i="4026"/>
  <c r="AP125" i="4026"/>
  <c r="AO125" i="4026"/>
  <c r="AN125" i="4026"/>
  <c r="AM125" i="4026"/>
  <c r="AL125" i="4026"/>
  <c r="AK125" i="4026"/>
  <c r="AJ125" i="4026"/>
  <c r="AI125" i="4026"/>
  <c r="AH125" i="4026"/>
  <c r="AG125" i="4026"/>
  <c r="AF125" i="4026"/>
  <c r="AE125" i="4026"/>
  <c r="AD125" i="4026"/>
  <c r="AC125" i="4026"/>
  <c r="AB125" i="4026"/>
  <c r="AA125" i="4026"/>
  <c r="Z125" i="4026"/>
  <c r="Y125" i="4026"/>
  <c r="X125" i="4026"/>
  <c r="W125" i="4026"/>
  <c r="V125" i="4026"/>
  <c r="U125" i="4026"/>
  <c r="T125" i="4026"/>
  <c r="S125" i="4026"/>
  <c r="R125" i="4026"/>
  <c r="Q125" i="4026"/>
  <c r="P125" i="4026"/>
  <c r="O125" i="4026"/>
  <c r="N125" i="4026"/>
  <c r="M125" i="4026"/>
  <c r="L125" i="4026"/>
  <c r="K125" i="4026"/>
  <c r="J125" i="4026"/>
  <c r="I125" i="4026"/>
  <c r="H125" i="4026"/>
  <c r="G125" i="4026"/>
  <c r="F125" i="4026"/>
  <c r="D107" i="4026"/>
  <c r="E106" i="4026"/>
  <c r="D85" i="4026"/>
  <c r="D84" i="4026"/>
  <c r="D70" i="4026"/>
  <c r="D65" i="4026"/>
  <c r="D64" i="4026"/>
  <c r="D63" i="4026"/>
  <c r="C60" i="4026"/>
  <c r="D59" i="4026"/>
  <c r="C58" i="4026"/>
  <c r="D57" i="4026"/>
  <c r="C56" i="4026"/>
  <c r="D55" i="4026"/>
  <c r="C53" i="4026"/>
  <c r="D49" i="4026"/>
  <c r="C49" i="4026"/>
  <c r="D48" i="4026"/>
  <c r="E47" i="4026"/>
  <c r="D47" i="4026"/>
  <c r="E46" i="4026"/>
  <c r="D46" i="4026"/>
  <c r="E45" i="4026"/>
  <c r="D45" i="4026"/>
  <c r="C44" i="4026"/>
  <c r="C152" i="4026"/>
  <c r="C35" i="4026"/>
  <c r="C33" i="4026"/>
  <c r="C27" i="4026"/>
  <c r="C25" i="4026"/>
  <c r="E13" i="4026"/>
  <c r="D13" i="4026"/>
  <c r="E12" i="4026"/>
  <c r="C8" i="4026"/>
  <c r="D43" i="4026" s="1"/>
  <c r="D5" i="4026"/>
  <c r="C154" i="4025"/>
  <c r="D151" i="4025"/>
  <c r="AR147" i="4025"/>
  <c r="AQ147" i="4025"/>
  <c r="AP147" i="4025"/>
  <c r="AO147" i="4025"/>
  <c r="AN147" i="4025"/>
  <c r="AM147" i="4025"/>
  <c r="AL147" i="4025"/>
  <c r="AK147" i="4025"/>
  <c r="AJ147" i="4025"/>
  <c r="AI147" i="4025"/>
  <c r="AH147" i="4025"/>
  <c r="AG147" i="4025"/>
  <c r="AF147" i="4025"/>
  <c r="AE147" i="4025"/>
  <c r="AD147" i="4025"/>
  <c r="AC147" i="4025"/>
  <c r="AB147" i="4025"/>
  <c r="AA147" i="4025"/>
  <c r="Z147" i="4025"/>
  <c r="Y147" i="4025"/>
  <c r="X147" i="4025"/>
  <c r="W147" i="4025"/>
  <c r="V147" i="4025"/>
  <c r="U147" i="4025"/>
  <c r="T147" i="4025"/>
  <c r="AR145" i="4025"/>
  <c r="AQ145" i="4025"/>
  <c r="AP145" i="4025"/>
  <c r="AO145" i="4025"/>
  <c r="AN145" i="4025"/>
  <c r="AM145" i="4025"/>
  <c r="AL145" i="4025"/>
  <c r="AK145" i="4025"/>
  <c r="AJ145" i="4025"/>
  <c r="AI145" i="4025"/>
  <c r="AH145" i="4025"/>
  <c r="AG145" i="4025"/>
  <c r="AF145" i="4025"/>
  <c r="AE145" i="4025"/>
  <c r="AD145" i="4025"/>
  <c r="AC145" i="4025"/>
  <c r="AB145" i="4025"/>
  <c r="AA145" i="4025"/>
  <c r="Z145" i="4025"/>
  <c r="Y145" i="4025"/>
  <c r="X145" i="4025"/>
  <c r="W145" i="4025"/>
  <c r="V145" i="4025"/>
  <c r="U145" i="4025"/>
  <c r="T145" i="4025"/>
  <c r="C145" i="4025"/>
  <c r="AR136" i="4025"/>
  <c r="AQ136" i="4025"/>
  <c r="AP136" i="4025"/>
  <c r="AO136" i="4025"/>
  <c r="AN136" i="4025"/>
  <c r="AM136" i="4025"/>
  <c r="AL136" i="4025"/>
  <c r="AK136" i="4025"/>
  <c r="AJ136" i="4025"/>
  <c r="AI136" i="4025"/>
  <c r="AH136" i="4025"/>
  <c r="AG136" i="4025"/>
  <c r="AF136" i="4025"/>
  <c r="AE136" i="4025"/>
  <c r="AD136" i="4025"/>
  <c r="AC136" i="4025"/>
  <c r="AB136" i="4025"/>
  <c r="AA136" i="4025"/>
  <c r="Z136" i="4025"/>
  <c r="Y136" i="4025"/>
  <c r="X136" i="4025"/>
  <c r="W136" i="4025"/>
  <c r="V136" i="4025"/>
  <c r="U136" i="4025"/>
  <c r="T136" i="4025"/>
  <c r="AR135" i="4025"/>
  <c r="AQ135" i="4025"/>
  <c r="AP135" i="4025"/>
  <c r="AO135" i="4025"/>
  <c r="AN135" i="4025"/>
  <c r="AM135" i="4025"/>
  <c r="AL135" i="4025"/>
  <c r="AK135" i="4025"/>
  <c r="AJ135" i="4025"/>
  <c r="AI135" i="4025"/>
  <c r="AH135" i="4025"/>
  <c r="AG135" i="4025"/>
  <c r="AF135" i="4025"/>
  <c r="AE135" i="4025"/>
  <c r="AD135" i="4025"/>
  <c r="AC135" i="4025"/>
  <c r="AB135" i="4025"/>
  <c r="AA135" i="4025"/>
  <c r="Z135" i="4025"/>
  <c r="Y135" i="4025"/>
  <c r="X135" i="4025"/>
  <c r="W135" i="4025"/>
  <c r="V135" i="4025"/>
  <c r="U135" i="4025"/>
  <c r="T135" i="4025"/>
  <c r="AR134" i="4025"/>
  <c r="AQ134" i="4025"/>
  <c r="AP134" i="4025"/>
  <c r="AO134" i="4025"/>
  <c r="AN134" i="4025"/>
  <c r="AM134" i="4025"/>
  <c r="AL134" i="4025"/>
  <c r="AK134" i="4025"/>
  <c r="AJ134" i="4025"/>
  <c r="AI134" i="4025"/>
  <c r="AH134" i="4025"/>
  <c r="AG134" i="4025"/>
  <c r="AF134" i="4025"/>
  <c r="AE134" i="4025"/>
  <c r="AD134" i="4025"/>
  <c r="AC134" i="4025"/>
  <c r="AB134" i="4025"/>
  <c r="AA134" i="4025"/>
  <c r="Z134" i="4025"/>
  <c r="Y134" i="4025"/>
  <c r="X134" i="4025"/>
  <c r="W134" i="4025"/>
  <c r="V134" i="4025"/>
  <c r="U134" i="4025"/>
  <c r="T134" i="4025"/>
  <c r="E125" i="4025"/>
  <c r="C125" i="4025"/>
  <c r="E124" i="4025"/>
  <c r="C124" i="4025"/>
  <c r="AR123" i="4025"/>
  <c r="AQ123" i="4025"/>
  <c r="AP123" i="4025"/>
  <c r="AO123" i="4025"/>
  <c r="AN123" i="4025"/>
  <c r="AM123" i="4025"/>
  <c r="AL123" i="4025"/>
  <c r="AK123" i="4025"/>
  <c r="AJ123" i="4025"/>
  <c r="AI123" i="4025"/>
  <c r="AH123" i="4025"/>
  <c r="AG123" i="4025"/>
  <c r="AF123" i="4025"/>
  <c r="AE123" i="4025"/>
  <c r="AD123" i="4025"/>
  <c r="AC123" i="4025"/>
  <c r="AB123" i="4025"/>
  <c r="AA123" i="4025"/>
  <c r="Z123" i="4025"/>
  <c r="Y123" i="4025"/>
  <c r="X123" i="4025"/>
  <c r="W123" i="4025"/>
  <c r="V123" i="4025"/>
  <c r="U123" i="4025"/>
  <c r="T123" i="4025"/>
  <c r="S123" i="4025"/>
  <c r="R123" i="4025"/>
  <c r="Q123" i="4025"/>
  <c r="P123" i="4025"/>
  <c r="O123" i="4025"/>
  <c r="N123" i="4025"/>
  <c r="M123" i="4025"/>
  <c r="L123" i="4025"/>
  <c r="K123" i="4025"/>
  <c r="J123" i="4025"/>
  <c r="I123" i="4025"/>
  <c r="H123" i="4025"/>
  <c r="G123" i="4025"/>
  <c r="F123" i="4025"/>
  <c r="E123" i="4025"/>
  <c r="AR122" i="4025"/>
  <c r="AQ122" i="4025"/>
  <c r="AP122" i="4025"/>
  <c r="AO122" i="4025"/>
  <c r="AN122" i="4025"/>
  <c r="AM122" i="4025"/>
  <c r="AL122" i="4025"/>
  <c r="AK122" i="4025"/>
  <c r="AJ122" i="4025"/>
  <c r="AI122" i="4025"/>
  <c r="AH122" i="4025"/>
  <c r="AG122" i="4025"/>
  <c r="AF122" i="4025"/>
  <c r="AE122" i="4025"/>
  <c r="AD122" i="4025"/>
  <c r="AC122" i="4025"/>
  <c r="AB122" i="4025"/>
  <c r="AA122" i="4025"/>
  <c r="Z122" i="4025"/>
  <c r="Y122" i="4025"/>
  <c r="S122" i="4025"/>
  <c r="R122" i="4025"/>
  <c r="Q122" i="4025"/>
  <c r="P122" i="4025"/>
  <c r="O122" i="4025"/>
  <c r="N122" i="4025"/>
  <c r="M122" i="4025"/>
  <c r="L122" i="4025"/>
  <c r="K122" i="4025"/>
  <c r="J122" i="4025"/>
  <c r="I122" i="4025"/>
  <c r="H122" i="4025"/>
  <c r="G122" i="4025"/>
  <c r="F122" i="4025"/>
  <c r="E122" i="4025"/>
  <c r="AR121" i="4025"/>
  <c r="AQ121" i="4025"/>
  <c r="AP121" i="4025"/>
  <c r="AO121" i="4025"/>
  <c r="AN121" i="4025"/>
  <c r="AM121" i="4025"/>
  <c r="AM131" i="4025" s="1"/>
  <c r="AL121" i="4025"/>
  <c r="AK121" i="4025"/>
  <c r="AJ121" i="4025"/>
  <c r="AI121" i="4025"/>
  <c r="AH121" i="4025"/>
  <c r="AG121" i="4025"/>
  <c r="AG131" i="4025" s="1"/>
  <c r="AF121" i="4025"/>
  <c r="AE121" i="4025"/>
  <c r="AD121" i="4025"/>
  <c r="AC121" i="4025"/>
  <c r="AB121" i="4025"/>
  <c r="AA121" i="4025"/>
  <c r="AA131" i="4025" s="1"/>
  <c r="Z121" i="4025"/>
  <c r="Y121" i="4025"/>
  <c r="X121" i="4025"/>
  <c r="W121" i="4025"/>
  <c r="V121" i="4025"/>
  <c r="U121" i="4025"/>
  <c r="T121" i="4025"/>
  <c r="S121" i="4025"/>
  <c r="R121" i="4025"/>
  <c r="Q121" i="4025"/>
  <c r="P121" i="4025"/>
  <c r="O121" i="4025"/>
  <c r="N121" i="4025"/>
  <c r="M121" i="4025"/>
  <c r="L121" i="4025"/>
  <c r="K121" i="4025"/>
  <c r="J121" i="4025"/>
  <c r="I121" i="4025"/>
  <c r="H121" i="4025"/>
  <c r="G121" i="4025"/>
  <c r="F121" i="4025"/>
  <c r="E121" i="4025"/>
  <c r="C118" i="4025"/>
  <c r="AR117" i="4025"/>
  <c r="AQ117" i="4025"/>
  <c r="AP117" i="4025"/>
  <c r="AO117" i="4025"/>
  <c r="AN117" i="4025"/>
  <c r="AM117" i="4025"/>
  <c r="AL117" i="4025"/>
  <c r="AK117" i="4025"/>
  <c r="AJ117" i="4025"/>
  <c r="AI117" i="4025"/>
  <c r="AH117" i="4025"/>
  <c r="AG117" i="4025"/>
  <c r="AF117" i="4025"/>
  <c r="AE117" i="4025"/>
  <c r="AD117" i="4025"/>
  <c r="AC117" i="4025"/>
  <c r="AB117" i="4025"/>
  <c r="AA117" i="4025"/>
  <c r="Z117" i="4025"/>
  <c r="Y117" i="4025"/>
  <c r="X117" i="4025"/>
  <c r="W117" i="4025"/>
  <c r="V117" i="4025"/>
  <c r="U117" i="4025"/>
  <c r="T117" i="4025"/>
  <c r="S117" i="4025"/>
  <c r="R117" i="4025"/>
  <c r="Q117" i="4025"/>
  <c r="P117" i="4025"/>
  <c r="O117" i="4025"/>
  <c r="N117" i="4025"/>
  <c r="M117" i="4025"/>
  <c r="L117" i="4025"/>
  <c r="K117" i="4025"/>
  <c r="J117" i="4025"/>
  <c r="I117" i="4025"/>
  <c r="H117" i="4025"/>
  <c r="G117" i="4025"/>
  <c r="F117" i="4025"/>
  <c r="E117" i="4025"/>
  <c r="AR116" i="4025"/>
  <c r="AQ116" i="4025"/>
  <c r="AP116" i="4025"/>
  <c r="AO116" i="4025"/>
  <c r="AN116" i="4025"/>
  <c r="AM116" i="4025"/>
  <c r="AL116" i="4025"/>
  <c r="AK116" i="4025"/>
  <c r="AJ116" i="4025"/>
  <c r="AI116" i="4025"/>
  <c r="AH116" i="4025"/>
  <c r="AG116" i="4025"/>
  <c r="AF116" i="4025"/>
  <c r="AE116" i="4025"/>
  <c r="AD116" i="4025"/>
  <c r="AC116" i="4025"/>
  <c r="AB116" i="4025"/>
  <c r="AA116" i="4025"/>
  <c r="Z116" i="4025"/>
  <c r="Y116" i="4025"/>
  <c r="X116" i="4025"/>
  <c r="W116" i="4025"/>
  <c r="V116" i="4025"/>
  <c r="U116" i="4025"/>
  <c r="T116" i="4025"/>
  <c r="S116" i="4025"/>
  <c r="R116" i="4025"/>
  <c r="Q116" i="4025"/>
  <c r="P116" i="4025"/>
  <c r="O116" i="4025"/>
  <c r="N116" i="4025"/>
  <c r="M116" i="4025"/>
  <c r="L116" i="4025"/>
  <c r="K116" i="4025"/>
  <c r="J116" i="4025"/>
  <c r="I116" i="4025"/>
  <c r="H116" i="4025"/>
  <c r="G116" i="4025"/>
  <c r="F116" i="4025"/>
  <c r="E116" i="4025"/>
  <c r="C116" i="4025"/>
  <c r="C115" i="4025"/>
  <c r="AR109" i="4025"/>
  <c r="AQ109" i="4025"/>
  <c r="AQ124" i="4025" s="1"/>
  <c r="AP109" i="4025"/>
  <c r="AP124" i="4025" s="1"/>
  <c r="AO109" i="4025"/>
  <c r="AO124" i="4025" s="1"/>
  <c r="AN109" i="4025"/>
  <c r="AN124" i="4025" s="1"/>
  <c r="AM109" i="4025"/>
  <c r="AM124" i="4025" s="1"/>
  <c r="AL109" i="4025"/>
  <c r="AL124" i="4025" s="1"/>
  <c r="AK109" i="4025"/>
  <c r="AK124" i="4025" s="1"/>
  <c r="AJ109" i="4025"/>
  <c r="AJ124" i="4025" s="1"/>
  <c r="AI109" i="4025"/>
  <c r="AI124" i="4025" s="1"/>
  <c r="AH109" i="4025"/>
  <c r="AH124" i="4025" s="1"/>
  <c r="AG109" i="4025"/>
  <c r="AG124" i="4025" s="1"/>
  <c r="AF109" i="4025"/>
  <c r="AF124" i="4025" s="1"/>
  <c r="AE109" i="4025"/>
  <c r="AE124" i="4025" s="1"/>
  <c r="AD109" i="4025"/>
  <c r="AD124" i="4025" s="1"/>
  <c r="AC109" i="4025"/>
  <c r="AC124" i="4025" s="1"/>
  <c r="AB109" i="4025"/>
  <c r="AB124" i="4025" s="1"/>
  <c r="AA109" i="4025"/>
  <c r="AA124" i="4025" s="1"/>
  <c r="Z109" i="4025"/>
  <c r="Z124" i="4025" s="1"/>
  <c r="Y109" i="4025"/>
  <c r="Y124" i="4025" s="1"/>
  <c r="X109" i="4025"/>
  <c r="W109" i="4025"/>
  <c r="V109" i="4025"/>
  <c r="U109" i="4025"/>
  <c r="T109" i="4025"/>
  <c r="S109" i="4025"/>
  <c r="R109" i="4025"/>
  <c r="Q109" i="4025"/>
  <c r="P109" i="4025"/>
  <c r="O109" i="4025"/>
  <c r="N109" i="4025"/>
  <c r="M109" i="4025"/>
  <c r="L109" i="4025"/>
  <c r="K109" i="4025"/>
  <c r="J109" i="4025"/>
  <c r="I109" i="4025"/>
  <c r="H109" i="4025"/>
  <c r="G109" i="4025"/>
  <c r="F109" i="4025"/>
  <c r="E109" i="4025"/>
  <c r="AR124" i="4025"/>
  <c r="D108" i="4025"/>
  <c r="AR125" i="4025"/>
  <c r="AQ125" i="4025"/>
  <c r="AP125" i="4025"/>
  <c r="AO125" i="4025"/>
  <c r="AN125" i="4025"/>
  <c r="AM125" i="4025"/>
  <c r="AL125" i="4025"/>
  <c r="AK125" i="4025"/>
  <c r="AJ125" i="4025"/>
  <c r="AI125" i="4025"/>
  <c r="AH125" i="4025"/>
  <c r="AG125" i="4025"/>
  <c r="AF125" i="4025"/>
  <c r="AE125" i="4025"/>
  <c r="AD125" i="4025"/>
  <c r="AC125" i="4025"/>
  <c r="AB125" i="4025"/>
  <c r="AA125" i="4025"/>
  <c r="Z125" i="4025"/>
  <c r="Y125" i="4025"/>
  <c r="X125" i="4025"/>
  <c r="W125" i="4025"/>
  <c r="V125" i="4025"/>
  <c r="U125" i="4025"/>
  <c r="T125" i="4025"/>
  <c r="S125" i="4025"/>
  <c r="R125" i="4025"/>
  <c r="Q125" i="4025"/>
  <c r="P125" i="4025"/>
  <c r="O125" i="4025"/>
  <c r="N125" i="4025"/>
  <c r="M125" i="4025"/>
  <c r="L125" i="4025"/>
  <c r="K125" i="4025"/>
  <c r="J125" i="4025"/>
  <c r="I125" i="4025"/>
  <c r="H125" i="4025"/>
  <c r="G125" i="4025"/>
  <c r="F125" i="4025"/>
  <c r="D107" i="4025"/>
  <c r="E106" i="4025"/>
  <c r="E102" i="4025" s="1"/>
  <c r="D85" i="4025"/>
  <c r="D84" i="4025"/>
  <c r="D70" i="4025"/>
  <c r="D65" i="4025"/>
  <c r="D64" i="4025"/>
  <c r="D63" i="4025"/>
  <c r="D59" i="4025"/>
  <c r="D57" i="4025"/>
  <c r="D55" i="4025"/>
  <c r="D49" i="4025"/>
  <c r="D48" i="4025"/>
  <c r="E47" i="4025"/>
  <c r="D47" i="4025"/>
  <c r="E46" i="4025"/>
  <c r="D46" i="4025"/>
  <c r="E45" i="4025"/>
  <c r="D45" i="4025"/>
  <c r="C152" i="4025"/>
  <c r="AP115" i="4025"/>
  <c r="AR115" i="4025"/>
  <c r="E13" i="4025"/>
  <c r="D13" i="4025"/>
  <c r="E12" i="4025"/>
  <c r="C8" i="4025"/>
  <c r="D43" i="4025" s="1"/>
  <c r="D5" i="4025"/>
  <c r="C154" i="4024"/>
  <c r="D151" i="4024"/>
  <c r="AR147" i="4024"/>
  <c r="AQ147" i="4024"/>
  <c r="AP147" i="4024"/>
  <c r="AO147" i="4024"/>
  <c r="AN147" i="4024"/>
  <c r="AM147" i="4024"/>
  <c r="AL147" i="4024"/>
  <c r="AK147" i="4024"/>
  <c r="AJ147" i="4024"/>
  <c r="AI147" i="4024"/>
  <c r="AH147" i="4024"/>
  <c r="AG147" i="4024"/>
  <c r="AF147" i="4024"/>
  <c r="AE147" i="4024"/>
  <c r="AD147" i="4024"/>
  <c r="AC147" i="4024"/>
  <c r="AB147" i="4024"/>
  <c r="AA147" i="4024"/>
  <c r="Z147" i="4024"/>
  <c r="Y147" i="4024"/>
  <c r="X147" i="4024"/>
  <c r="W147" i="4024"/>
  <c r="V147" i="4024"/>
  <c r="U147" i="4024"/>
  <c r="T147" i="4024"/>
  <c r="AR145" i="4024"/>
  <c r="AQ145" i="4024"/>
  <c r="AP145" i="4024"/>
  <c r="AO145" i="4024"/>
  <c r="AN145" i="4024"/>
  <c r="AM145" i="4024"/>
  <c r="AL145" i="4024"/>
  <c r="AK145" i="4024"/>
  <c r="AJ145" i="4024"/>
  <c r="AI145" i="4024"/>
  <c r="AH145" i="4024"/>
  <c r="AG145" i="4024"/>
  <c r="AF145" i="4024"/>
  <c r="AE145" i="4024"/>
  <c r="AD145" i="4024"/>
  <c r="AC145" i="4024"/>
  <c r="AB145" i="4024"/>
  <c r="AA145" i="4024"/>
  <c r="Z145" i="4024"/>
  <c r="Y145" i="4024"/>
  <c r="X145" i="4024"/>
  <c r="W145" i="4024"/>
  <c r="V145" i="4024"/>
  <c r="U145" i="4024"/>
  <c r="T145" i="4024"/>
  <c r="C145" i="4024"/>
  <c r="AR136" i="4024"/>
  <c r="AQ136" i="4024"/>
  <c r="AP136" i="4024"/>
  <c r="AO136" i="4024"/>
  <c r="AN136" i="4024"/>
  <c r="AM136" i="4024"/>
  <c r="AL136" i="4024"/>
  <c r="AK136" i="4024"/>
  <c r="AJ136" i="4024"/>
  <c r="AI136" i="4024"/>
  <c r="AH136" i="4024"/>
  <c r="AG136" i="4024"/>
  <c r="AF136" i="4024"/>
  <c r="AE136" i="4024"/>
  <c r="AD136" i="4024"/>
  <c r="AC136" i="4024"/>
  <c r="AB136" i="4024"/>
  <c r="AA136" i="4024"/>
  <c r="Z136" i="4024"/>
  <c r="Y136" i="4024"/>
  <c r="X136" i="4024"/>
  <c r="W136" i="4024"/>
  <c r="V136" i="4024"/>
  <c r="U136" i="4024"/>
  <c r="T136" i="4024"/>
  <c r="AR135" i="4024"/>
  <c r="AQ135" i="4024"/>
  <c r="AP135" i="4024"/>
  <c r="AO135" i="4024"/>
  <c r="AN135" i="4024"/>
  <c r="AM135" i="4024"/>
  <c r="AL135" i="4024"/>
  <c r="AK135" i="4024"/>
  <c r="AJ135" i="4024"/>
  <c r="AI135" i="4024"/>
  <c r="AH135" i="4024"/>
  <c r="AG135" i="4024"/>
  <c r="AF135" i="4024"/>
  <c r="AE135" i="4024"/>
  <c r="AD135" i="4024"/>
  <c r="AC135" i="4024"/>
  <c r="AB135" i="4024"/>
  <c r="AA135" i="4024"/>
  <c r="Z135" i="4024"/>
  <c r="Y135" i="4024"/>
  <c r="X135" i="4024"/>
  <c r="W135" i="4024"/>
  <c r="V135" i="4024"/>
  <c r="U135" i="4024"/>
  <c r="T135" i="4024"/>
  <c r="AR134" i="4024"/>
  <c r="AQ134" i="4024"/>
  <c r="AP134" i="4024"/>
  <c r="AO134" i="4024"/>
  <c r="AN134" i="4024"/>
  <c r="AM134" i="4024"/>
  <c r="AL134" i="4024"/>
  <c r="AK134" i="4024"/>
  <c r="AJ134" i="4024"/>
  <c r="AI134" i="4024"/>
  <c r="AH134" i="4024"/>
  <c r="AG134" i="4024"/>
  <c r="AF134" i="4024"/>
  <c r="AE134" i="4024"/>
  <c r="AD134" i="4024"/>
  <c r="AC134" i="4024"/>
  <c r="AB134" i="4024"/>
  <c r="AA134" i="4024"/>
  <c r="Z134" i="4024"/>
  <c r="Y134" i="4024"/>
  <c r="X134" i="4024"/>
  <c r="W134" i="4024"/>
  <c r="V134" i="4024"/>
  <c r="U134" i="4024"/>
  <c r="T134" i="4024"/>
  <c r="E125" i="4024"/>
  <c r="C125" i="4024"/>
  <c r="E124" i="4024"/>
  <c r="C124" i="4024"/>
  <c r="AR123" i="4024"/>
  <c r="AQ123" i="4024"/>
  <c r="AP123" i="4024"/>
  <c r="AO123" i="4024"/>
  <c r="AN123" i="4024"/>
  <c r="AM123" i="4024"/>
  <c r="AL123" i="4024"/>
  <c r="AK123" i="4024"/>
  <c r="AJ123" i="4024"/>
  <c r="AI123" i="4024"/>
  <c r="AH123" i="4024"/>
  <c r="AG123" i="4024"/>
  <c r="AF123" i="4024"/>
  <c r="AE123" i="4024"/>
  <c r="AD123" i="4024"/>
  <c r="AC123" i="4024"/>
  <c r="AB123" i="4024"/>
  <c r="AA123" i="4024"/>
  <c r="Z123" i="4024"/>
  <c r="Y123" i="4024"/>
  <c r="X123" i="4024"/>
  <c r="W123" i="4024"/>
  <c r="V123" i="4024"/>
  <c r="U123" i="4024"/>
  <c r="T123" i="4024"/>
  <c r="S123" i="4024"/>
  <c r="R123" i="4024"/>
  <c r="Q123" i="4024"/>
  <c r="P123" i="4024"/>
  <c r="O123" i="4024"/>
  <c r="N123" i="4024"/>
  <c r="M123" i="4024"/>
  <c r="L123" i="4024"/>
  <c r="K123" i="4024"/>
  <c r="J123" i="4024"/>
  <c r="I123" i="4024"/>
  <c r="H123" i="4024"/>
  <c r="G123" i="4024"/>
  <c r="F123" i="4024"/>
  <c r="E123" i="4024"/>
  <c r="AR122" i="4024"/>
  <c r="AQ122" i="4024"/>
  <c r="AP122" i="4024"/>
  <c r="AO122" i="4024"/>
  <c r="AN122" i="4024"/>
  <c r="AM122" i="4024"/>
  <c r="AL122" i="4024"/>
  <c r="AK122" i="4024"/>
  <c r="AJ122" i="4024"/>
  <c r="AI122" i="4024"/>
  <c r="AH122" i="4024"/>
  <c r="AG122" i="4024"/>
  <c r="AF122" i="4024"/>
  <c r="AE122" i="4024"/>
  <c r="AD122" i="4024"/>
  <c r="AC122" i="4024"/>
  <c r="AB122" i="4024"/>
  <c r="AA122" i="4024"/>
  <c r="Z122" i="4024"/>
  <c r="Y122" i="4024"/>
  <c r="S122" i="4024"/>
  <c r="R122" i="4024"/>
  <c r="Q122" i="4024"/>
  <c r="P122" i="4024"/>
  <c r="O122" i="4024"/>
  <c r="N122" i="4024"/>
  <c r="M122" i="4024"/>
  <c r="L122" i="4024"/>
  <c r="K122" i="4024"/>
  <c r="J122" i="4024"/>
  <c r="I122" i="4024"/>
  <c r="H122" i="4024"/>
  <c r="G122" i="4024"/>
  <c r="F122" i="4024"/>
  <c r="E122" i="4024"/>
  <c r="AR121" i="4024"/>
  <c r="AQ121" i="4024"/>
  <c r="AP121" i="4024"/>
  <c r="AO121" i="4024"/>
  <c r="AN121" i="4024"/>
  <c r="AM121" i="4024"/>
  <c r="AL121" i="4024"/>
  <c r="AK121" i="4024"/>
  <c r="AJ121" i="4024"/>
  <c r="AI121" i="4024"/>
  <c r="AH121" i="4024"/>
  <c r="AG121" i="4024"/>
  <c r="AF121" i="4024"/>
  <c r="AE121" i="4024"/>
  <c r="AD121" i="4024"/>
  <c r="AC121" i="4024"/>
  <c r="AB121" i="4024"/>
  <c r="AA121" i="4024"/>
  <c r="Z121" i="4024"/>
  <c r="Y121" i="4024"/>
  <c r="X121" i="4024"/>
  <c r="W121" i="4024"/>
  <c r="V121" i="4024"/>
  <c r="U121" i="4024"/>
  <c r="T121" i="4024"/>
  <c r="S121" i="4024"/>
  <c r="R121" i="4024"/>
  <c r="Q121" i="4024"/>
  <c r="P121" i="4024"/>
  <c r="O121" i="4024"/>
  <c r="N121" i="4024"/>
  <c r="M121" i="4024"/>
  <c r="L121" i="4024"/>
  <c r="K121" i="4024"/>
  <c r="J121" i="4024"/>
  <c r="I121" i="4024"/>
  <c r="H121" i="4024"/>
  <c r="G121" i="4024"/>
  <c r="F121" i="4024"/>
  <c r="E121" i="4024"/>
  <c r="C118" i="4024"/>
  <c r="AR117" i="4024"/>
  <c r="AQ117" i="4024"/>
  <c r="AP117" i="4024"/>
  <c r="AO117" i="4024"/>
  <c r="AN117" i="4024"/>
  <c r="AM117" i="4024"/>
  <c r="AL117" i="4024"/>
  <c r="AK117" i="4024"/>
  <c r="AJ117" i="4024"/>
  <c r="AI117" i="4024"/>
  <c r="AH117" i="4024"/>
  <c r="AG117" i="4024"/>
  <c r="AF117" i="4024"/>
  <c r="AE117" i="4024"/>
  <c r="AD117" i="4024"/>
  <c r="AC117" i="4024"/>
  <c r="AB117" i="4024"/>
  <c r="AA117" i="4024"/>
  <c r="Z117" i="4024"/>
  <c r="Y117" i="4024"/>
  <c r="X117" i="4024"/>
  <c r="W117" i="4024"/>
  <c r="V117" i="4024"/>
  <c r="U117" i="4024"/>
  <c r="T117" i="4024"/>
  <c r="S117" i="4024"/>
  <c r="R117" i="4024"/>
  <c r="Q117" i="4024"/>
  <c r="P117" i="4024"/>
  <c r="O117" i="4024"/>
  <c r="N117" i="4024"/>
  <c r="M117" i="4024"/>
  <c r="L117" i="4024"/>
  <c r="K117" i="4024"/>
  <c r="J117" i="4024"/>
  <c r="I117" i="4024"/>
  <c r="H117" i="4024"/>
  <c r="G117" i="4024"/>
  <c r="F117" i="4024"/>
  <c r="E117" i="4024"/>
  <c r="AR116" i="4024"/>
  <c r="AQ116" i="4024"/>
  <c r="AP116" i="4024"/>
  <c r="AO116" i="4024"/>
  <c r="AN116" i="4024"/>
  <c r="AM116" i="4024"/>
  <c r="AL116" i="4024"/>
  <c r="AK116" i="4024"/>
  <c r="AJ116" i="4024"/>
  <c r="AI116" i="4024"/>
  <c r="AH116" i="4024"/>
  <c r="AG116" i="4024"/>
  <c r="AF116" i="4024"/>
  <c r="AE116" i="4024"/>
  <c r="AD116" i="4024"/>
  <c r="AC116" i="4024"/>
  <c r="AB116" i="4024"/>
  <c r="AA116" i="4024"/>
  <c r="Z116" i="4024"/>
  <c r="Y116" i="4024"/>
  <c r="X116" i="4024"/>
  <c r="W116" i="4024"/>
  <c r="V116" i="4024"/>
  <c r="U116" i="4024"/>
  <c r="T116" i="4024"/>
  <c r="S116" i="4024"/>
  <c r="R116" i="4024"/>
  <c r="Q116" i="4024"/>
  <c r="P116" i="4024"/>
  <c r="O116" i="4024"/>
  <c r="N116" i="4024"/>
  <c r="M116" i="4024"/>
  <c r="L116" i="4024"/>
  <c r="K116" i="4024"/>
  <c r="J116" i="4024"/>
  <c r="I116" i="4024"/>
  <c r="H116" i="4024"/>
  <c r="G116" i="4024"/>
  <c r="F116" i="4024"/>
  <c r="E116" i="4024"/>
  <c r="C116" i="4024"/>
  <c r="C115" i="4024"/>
  <c r="AR109" i="4024"/>
  <c r="AR124" i="4024" s="1"/>
  <c r="AQ109" i="4024"/>
  <c r="AQ124" i="4024" s="1"/>
  <c r="AP109" i="4024"/>
  <c r="AP124" i="4024" s="1"/>
  <c r="AO109" i="4024"/>
  <c r="AO124" i="4024" s="1"/>
  <c r="AN109" i="4024"/>
  <c r="AM109" i="4024"/>
  <c r="AM124" i="4024" s="1"/>
  <c r="AL109" i="4024"/>
  <c r="AL124" i="4024" s="1"/>
  <c r="AK109" i="4024"/>
  <c r="AK124" i="4024" s="1"/>
  <c r="AJ109" i="4024"/>
  <c r="AJ124" i="4024" s="1"/>
  <c r="AI109" i="4024"/>
  <c r="AI124" i="4024" s="1"/>
  <c r="AH109" i="4024"/>
  <c r="AH124" i="4024" s="1"/>
  <c r="AG109" i="4024"/>
  <c r="AG124" i="4024" s="1"/>
  <c r="AF109" i="4024"/>
  <c r="AF124" i="4024" s="1"/>
  <c r="AE109" i="4024"/>
  <c r="AE124" i="4024" s="1"/>
  <c r="AD109" i="4024"/>
  <c r="AD124" i="4024" s="1"/>
  <c r="AC109" i="4024"/>
  <c r="AC124" i="4024" s="1"/>
  <c r="AB109" i="4024"/>
  <c r="AB124" i="4024" s="1"/>
  <c r="AA109" i="4024"/>
  <c r="AA124" i="4024" s="1"/>
  <c r="Z109" i="4024"/>
  <c r="Z124" i="4024" s="1"/>
  <c r="Y109" i="4024"/>
  <c r="Y124" i="4024" s="1"/>
  <c r="X109" i="4024"/>
  <c r="W109" i="4024"/>
  <c r="V109" i="4024"/>
  <c r="U109" i="4024"/>
  <c r="T109" i="4024"/>
  <c r="S109" i="4024"/>
  <c r="R109" i="4024"/>
  <c r="Q109" i="4024"/>
  <c r="P109" i="4024"/>
  <c r="O109" i="4024"/>
  <c r="N109" i="4024"/>
  <c r="M109" i="4024"/>
  <c r="L109" i="4024"/>
  <c r="K109" i="4024"/>
  <c r="J109" i="4024"/>
  <c r="I109" i="4024"/>
  <c r="H109" i="4024"/>
  <c r="G109" i="4024"/>
  <c r="F109" i="4024"/>
  <c r="E109" i="4024"/>
  <c r="AN124" i="4024"/>
  <c r="D108" i="4024"/>
  <c r="AR125" i="4024"/>
  <c r="AQ125" i="4024"/>
  <c r="AP125" i="4024"/>
  <c r="AO125" i="4024"/>
  <c r="AN125" i="4024"/>
  <c r="AM125" i="4024"/>
  <c r="AL125" i="4024"/>
  <c r="AK125" i="4024"/>
  <c r="AJ125" i="4024"/>
  <c r="AI125" i="4024"/>
  <c r="AH125" i="4024"/>
  <c r="AG125" i="4024"/>
  <c r="AF125" i="4024"/>
  <c r="AE125" i="4024"/>
  <c r="AD125" i="4024"/>
  <c r="AC125" i="4024"/>
  <c r="AB125" i="4024"/>
  <c r="AA125" i="4024"/>
  <c r="Z125" i="4024"/>
  <c r="Y125" i="4024"/>
  <c r="X125" i="4024"/>
  <c r="W125" i="4024"/>
  <c r="V125" i="4024"/>
  <c r="U125" i="4024"/>
  <c r="T125" i="4024"/>
  <c r="S125" i="4024"/>
  <c r="R125" i="4024"/>
  <c r="Q125" i="4024"/>
  <c r="P125" i="4024"/>
  <c r="O125" i="4024"/>
  <c r="N125" i="4024"/>
  <c r="M125" i="4024"/>
  <c r="L125" i="4024"/>
  <c r="K125" i="4024"/>
  <c r="J125" i="4024"/>
  <c r="I125" i="4024"/>
  <c r="H125" i="4024"/>
  <c r="G125" i="4024"/>
  <c r="F125" i="4024"/>
  <c r="D107" i="4024"/>
  <c r="E106" i="4024"/>
  <c r="E102" i="4024" s="1"/>
  <c r="D85" i="4024"/>
  <c r="D84" i="4024"/>
  <c r="D70" i="4024"/>
  <c r="D65" i="4024"/>
  <c r="D64" i="4024"/>
  <c r="D63" i="4024"/>
  <c r="C60" i="4024"/>
  <c r="D59" i="4024"/>
  <c r="C58" i="4024"/>
  <c r="D57" i="4024"/>
  <c r="C56" i="4024"/>
  <c r="D55" i="4024"/>
  <c r="C53" i="4024"/>
  <c r="D49" i="4024"/>
  <c r="C49" i="4024"/>
  <c r="D48" i="4024"/>
  <c r="E47" i="4024"/>
  <c r="D47" i="4024"/>
  <c r="E46" i="4024"/>
  <c r="D46" i="4024"/>
  <c r="E45" i="4024"/>
  <c r="D45" i="4024"/>
  <c r="C44" i="4024"/>
  <c r="C152" i="4024"/>
  <c r="C35" i="4024"/>
  <c r="C33" i="4024"/>
  <c r="C34" i="4024" s="1"/>
  <c r="AP115" i="4024" s="1"/>
  <c r="C27" i="4024"/>
  <c r="C25" i="4024"/>
  <c r="E13" i="4024"/>
  <c r="D13" i="4024"/>
  <c r="E12" i="4024"/>
  <c r="C8" i="4024"/>
  <c r="D43" i="4024" s="1"/>
  <c r="D5" i="4024"/>
  <c r="D172" i="4023"/>
  <c r="D171" i="4023"/>
  <c r="D170" i="4023"/>
  <c r="B170" i="4023"/>
  <c r="D169" i="4023"/>
  <c r="B169" i="4023"/>
  <c r="D168" i="4023"/>
  <c r="D167" i="4023"/>
  <c r="D166" i="4023"/>
  <c r="D165" i="4023"/>
  <c r="D164" i="4023"/>
  <c r="C154" i="4023"/>
  <c r="D151" i="4023"/>
  <c r="AR147" i="4023"/>
  <c r="AQ147" i="4023"/>
  <c r="AP147" i="4023"/>
  <c r="AO147" i="4023"/>
  <c r="AN147" i="4023"/>
  <c r="AM147" i="4023"/>
  <c r="AL147" i="4023"/>
  <c r="AK147" i="4023"/>
  <c r="AJ147" i="4023"/>
  <c r="AI147" i="4023"/>
  <c r="AH147" i="4023"/>
  <c r="AG147" i="4023"/>
  <c r="AF147" i="4023"/>
  <c r="AE147" i="4023"/>
  <c r="AD147" i="4023"/>
  <c r="AC147" i="4023"/>
  <c r="AB147" i="4023"/>
  <c r="AA147" i="4023"/>
  <c r="Z147" i="4023"/>
  <c r="Y147" i="4023"/>
  <c r="X147" i="4023"/>
  <c r="W147" i="4023"/>
  <c r="V147" i="4023"/>
  <c r="U147" i="4023"/>
  <c r="T147" i="4023"/>
  <c r="AR145" i="4023"/>
  <c r="AQ145" i="4023"/>
  <c r="AP145" i="4023"/>
  <c r="AO145" i="4023"/>
  <c r="AN145" i="4023"/>
  <c r="AM145" i="4023"/>
  <c r="AL145" i="4023"/>
  <c r="AK145" i="4023"/>
  <c r="AJ145" i="4023"/>
  <c r="AI145" i="4023"/>
  <c r="AH145" i="4023"/>
  <c r="AG145" i="4023"/>
  <c r="AF145" i="4023"/>
  <c r="AE145" i="4023"/>
  <c r="AD145" i="4023"/>
  <c r="AC145" i="4023"/>
  <c r="AB145" i="4023"/>
  <c r="AA145" i="4023"/>
  <c r="Z145" i="4023"/>
  <c r="Y145" i="4023"/>
  <c r="X145" i="4023"/>
  <c r="W145" i="4023"/>
  <c r="V145" i="4023"/>
  <c r="U145" i="4023"/>
  <c r="T145" i="4023"/>
  <c r="C145" i="4023"/>
  <c r="AR136" i="4023"/>
  <c r="AQ136" i="4023"/>
  <c r="AP136" i="4023"/>
  <c r="AO136" i="4023"/>
  <c r="AN136" i="4023"/>
  <c r="AM136" i="4023"/>
  <c r="AL136" i="4023"/>
  <c r="AK136" i="4023"/>
  <c r="AJ136" i="4023"/>
  <c r="AI136" i="4023"/>
  <c r="AH136" i="4023"/>
  <c r="AG136" i="4023"/>
  <c r="AF136" i="4023"/>
  <c r="AE136" i="4023"/>
  <c r="AD136" i="4023"/>
  <c r="AC136" i="4023"/>
  <c r="AB136" i="4023"/>
  <c r="AA136" i="4023"/>
  <c r="Z136" i="4023"/>
  <c r="Y136" i="4023"/>
  <c r="X136" i="4023"/>
  <c r="W136" i="4023"/>
  <c r="V136" i="4023"/>
  <c r="U136" i="4023"/>
  <c r="T136" i="4023"/>
  <c r="AR135" i="4023"/>
  <c r="AQ135" i="4023"/>
  <c r="AP135" i="4023"/>
  <c r="AO135" i="4023"/>
  <c r="AN135" i="4023"/>
  <c r="AM135" i="4023"/>
  <c r="AL135" i="4023"/>
  <c r="AK135" i="4023"/>
  <c r="AJ135" i="4023"/>
  <c r="AI135" i="4023"/>
  <c r="AH135" i="4023"/>
  <c r="AG135" i="4023"/>
  <c r="AF135" i="4023"/>
  <c r="AE135" i="4023"/>
  <c r="AD135" i="4023"/>
  <c r="AC135" i="4023"/>
  <c r="AB135" i="4023"/>
  <c r="AA135" i="4023"/>
  <c r="Z135" i="4023"/>
  <c r="Y135" i="4023"/>
  <c r="X135" i="4023"/>
  <c r="W135" i="4023"/>
  <c r="V135" i="4023"/>
  <c r="U135" i="4023"/>
  <c r="T135" i="4023"/>
  <c r="AR134" i="4023"/>
  <c r="AQ134" i="4023"/>
  <c r="AP134" i="4023"/>
  <c r="AO134" i="4023"/>
  <c r="AN134" i="4023"/>
  <c r="AM134" i="4023"/>
  <c r="AL134" i="4023"/>
  <c r="AK134" i="4023"/>
  <c r="AJ134" i="4023"/>
  <c r="AI134" i="4023"/>
  <c r="AH134" i="4023"/>
  <c r="AG134" i="4023"/>
  <c r="AF134" i="4023"/>
  <c r="AE134" i="4023"/>
  <c r="AD134" i="4023"/>
  <c r="AC134" i="4023"/>
  <c r="AB134" i="4023"/>
  <c r="AA134" i="4023"/>
  <c r="Z134" i="4023"/>
  <c r="Y134" i="4023"/>
  <c r="X134" i="4023"/>
  <c r="W134" i="4023"/>
  <c r="V134" i="4023"/>
  <c r="U134" i="4023"/>
  <c r="T134" i="4023"/>
  <c r="E125" i="4023"/>
  <c r="C125" i="4023"/>
  <c r="E124" i="4023"/>
  <c r="C124" i="4023"/>
  <c r="AR123" i="4023"/>
  <c r="AQ123" i="4023"/>
  <c r="AP123" i="4023"/>
  <c r="AO123" i="4023"/>
  <c r="AN123" i="4023"/>
  <c r="AM123" i="4023"/>
  <c r="AL123" i="4023"/>
  <c r="AK123" i="4023"/>
  <c r="AJ123" i="4023"/>
  <c r="AI123" i="4023"/>
  <c r="AH123" i="4023"/>
  <c r="AG123" i="4023"/>
  <c r="AF123" i="4023"/>
  <c r="AE123" i="4023"/>
  <c r="AD123" i="4023"/>
  <c r="AC123" i="4023"/>
  <c r="AB123" i="4023"/>
  <c r="AA123" i="4023"/>
  <c r="Z123" i="4023"/>
  <c r="Y123" i="4023"/>
  <c r="X123" i="4023"/>
  <c r="W123" i="4023"/>
  <c r="V123" i="4023"/>
  <c r="U123" i="4023"/>
  <c r="T123" i="4023"/>
  <c r="S123" i="4023"/>
  <c r="R123" i="4023"/>
  <c r="Q123" i="4023"/>
  <c r="P123" i="4023"/>
  <c r="O123" i="4023"/>
  <c r="N123" i="4023"/>
  <c r="M123" i="4023"/>
  <c r="L123" i="4023"/>
  <c r="K123" i="4023"/>
  <c r="J123" i="4023"/>
  <c r="I123" i="4023"/>
  <c r="H123" i="4023"/>
  <c r="G123" i="4023"/>
  <c r="F123" i="4023"/>
  <c r="E123" i="4023"/>
  <c r="AR122" i="4023"/>
  <c r="AQ122" i="4023"/>
  <c r="AP122" i="4023"/>
  <c r="AO122" i="4023"/>
  <c r="AN122" i="4023"/>
  <c r="AM122" i="4023"/>
  <c r="AL122" i="4023"/>
  <c r="AK122" i="4023"/>
  <c r="AJ122" i="4023"/>
  <c r="AI122" i="4023"/>
  <c r="AH122" i="4023"/>
  <c r="AG122" i="4023"/>
  <c r="AF122" i="4023"/>
  <c r="AE122" i="4023"/>
  <c r="AD122" i="4023"/>
  <c r="AC122" i="4023"/>
  <c r="AB122" i="4023"/>
  <c r="AA122" i="4023"/>
  <c r="Z122" i="4023"/>
  <c r="Y122" i="4023"/>
  <c r="S122" i="4023"/>
  <c r="R122" i="4023"/>
  <c r="Q122" i="4023"/>
  <c r="P122" i="4023"/>
  <c r="O122" i="4023"/>
  <c r="N122" i="4023"/>
  <c r="M122" i="4023"/>
  <c r="L122" i="4023"/>
  <c r="K122" i="4023"/>
  <c r="J122" i="4023"/>
  <c r="I122" i="4023"/>
  <c r="H122" i="4023"/>
  <c r="G122" i="4023"/>
  <c r="F122" i="4023"/>
  <c r="E122" i="4023"/>
  <c r="AR121" i="4023"/>
  <c r="AQ121" i="4023"/>
  <c r="AP121" i="4023"/>
  <c r="AO121" i="4023"/>
  <c r="AN121" i="4023"/>
  <c r="AM121" i="4023"/>
  <c r="AL121" i="4023"/>
  <c r="AK121" i="4023"/>
  <c r="AJ121" i="4023"/>
  <c r="AI121" i="4023"/>
  <c r="AH121" i="4023"/>
  <c r="AG121" i="4023"/>
  <c r="AF121" i="4023"/>
  <c r="AE121" i="4023"/>
  <c r="AD121" i="4023"/>
  <c r="AC121" i="4023"/>
  <c r="AB121" i="4023"/>
  <c r="AA121" i="4023"/>
  <c r="Z121" i="4023"/>
  <c r="Y121" i="4023"/>
  <c r="X121" i="4023"/>
  <c r="W121" i="4023"/>
  <c r="V121" i="4023"/>
  <c r="U121" i="4023"/>
  <c r="T121" i="4023"/>
  <c r="S121" i="4023"/>
  <c r="R121" i="4023"/>
  <c r="Q121" i="4023"/>
  <c r="P121" i="4023"/>
  <c r="O121" i="4023"/>
  <c r="N121" i="4023"/>
  <c r="M121" i="4023"/>
  <c r="L121" i="4023"/>
  <c r="K121" i="4023"/>
  <c r="J121" i="4023"/>
  <c r="I121" i="4023"/>
  <c r="H121" i="4023"/>
  <c r="G121" i="4023"/>
  <c r="F121" i="4023"/>
  <c r="E121" i="4023"/>
  <c r="C118" i="4023"/>
  <c r="AR117" i="4023"/>
  <c r="AQ117" i="4023"/>
  <c r="AP117" i="4023"/>
  <c r="AO117" i="4023"/>
  <c r="AN117" i="4023"/>
  <c r="AM117" i="4023"/>
  <c r="AL117" i="4023"/>
  <c r="AK117" i="4023"/>
  <c r="AJ117" i="4023"/>
  <c r="AI117" i="4023"/>
  <c r="AH117" i="4023"/>
  <c r="AG117" i="4023"/>
  <c r="AF117" i="4023"/>
  <c r="AE117" i="4023"/>
  <c r="AD117" i="4023"/>
  <c r="AC117" i="4023"/>
  <c r="AB117" i="4023"/>
  <c r="AA117" i="4023"/>
  <c r="Z117" i="4023"/>
  <c r="Y117" i="4023"/>
  <c r="X117" i="4023"/>
  <c r="W117" i="4023"/>
  <c r="V117" i="4023"/>
  <c r="U117" i="4023"/>
  <c r="T117" i="4023"/>
  <c r="S117" i="4023"/>
  <c r="R117" i="4023"/>
  <c r="Q117" i="4023"/>
  <c r="P117" i="4023"/>
  <c r="O117" i="4023"/>
  <c r="N117" i="4023"/>
  <c r="M117" i="4023"/>
  <c r="L117" i="4023"/>
  <c r="K117" i="4023"/>
  <c r="J117" i="4023"/>
  <c r="I117" i="4023"/>
  <c r="H117" i="4023"/>
  <c r="G117" i="4023"/>
  <c r="F117" i="4023"/>
  <c r="E117" i="4023"/>
  <c r="AR116" i="4023"/>
  <c r="AQ116" i="4023"/>
  <c r="AP116" i="4023"/>
  <c r="AO116" i="4023"/>
  <c r="AN116" i="4023"/>
  <c r="AM116" i="4023"/>
  <c r="AL116" i="4023"/>
  <c r="AK116" i="4023"/>
  <c r="AJ116" i="4023"/>
  <c r="AI116" i="4023"/>
  <c r="AH116" i="4023"/>
  <c r="AG116" i="4023"/>
  <c r="AF116" i="4023"/>
  <c r="AE116" i="4023"/>
  <c r="AD116" i="4023"/>
  <c r="AC116" i="4023"/>
  <c r="AB116" i="4023"/>
  <c r="AA116" i="4023"/>
  <c r="Z116" i="4023"/>
  <c r="Y116" i="4023"/>
  <c r="X116" i="4023"/>
  <c r="W116" i="4023"/>
  <c r="V116" i="4023"/>
  <c r="U116" i="4023"/>
  <c r="T116" i="4023"/>
  <c r="S116" i="4023"/>
  <c r="R116" i="4023"/>
  <c r="Q116" i="4023"/>
  <c r="P116" i="4023"/>
  <c r="O116" i="4023"/>
  <c r="N116" i="4023"/>
  <c r="M116" i="4023"/>
  <c r="L116" i="4023"/>
  <c r="K116" i="4023"/>
  <c r="J116" i="4023"/>
  <c r="I116" i="4023"/>
  <c r="H116" i="4023"/>
  <c r="G116" i="4023"/>
  <c r="F116" i="4023"/>
  <c r="E116" i="4023"/>
  <c r="C116" i="4023"/>
  <c r="C115" i="4023"/>
  <c r="AR109" i="4023"/>
  <c r="AR124" i="4023" s="1"/>
  <c r="AQ109" i="4023"/>
  <c r="AQ124" i="4023" s="1"/>
  <c r="AP109" i="4023"/>
  <c r="AP124" i="4023" s="1"/>
  <c r="AO109" i="4023"/>
  <c r="AO124" i="4023" s="1"/>
  <c r="AN109" i="4023"/>
  <c r="AM109" i="4023"/>
  <c r="AM124" i="4023" s="1"/>
  <c r="AL109" i="4023"/>
  <c r="AL124" i="4023" s="1"/>
  <c r="AK109" i="4023"/>
  <c r="AK124" i="4023" s="1"/>
  <c r="AJ109" i="4023"/>
  <c r="AJ124" i="4023" s="1"/>
  <c r="AI109" i="4023"/>
  <c r="AI124" i="4023" s="1"/>
  <c r="AH109" i="4023"/>
  <c r="AH124" i="4023" s="1"/>
  <c r="AG109" i="4023"/>
  <c r="AG124" i="4023" s="1"/>
  <c r="AF109" i="4023"/>
  <c r="AF124" i="4023" s="1"/>
  <c r="AE109" i="4023"/>
  <c r="AE124" i="4023" s="1"/>
  <c r="AD109" i="4023"/>
  <c r="AD124" i="4023" s="1"/>
  <c r="AC109" i="4023"/>
  <c r="AC124" i="4023" s="1"/>
  <c r="AB109" i="4023"/>
  <c r="AB124" i="4023" s="1"/>
  <c r="AA109" i="4023"/>
  <c r="AA124" i="4023" s="1"/>
  <c r="Z109" i="4023"/>
  <c r="Z124" i="4023" s="1"/>
  <c r="Y109" i="4023"/>
  <c r="Y124" i="4023" s="1"/>
  <c r="X109" i="4023"/>
  <c r="W109" i="4023"/>
  <c r="V109" i="4023"/>
  <c r="U109" i="4023"/>
  <c r="T109" i="4023"/>
  <c r="S109" i="4023"/>
  <c r="R109" i="4023"/>
  <c r="Q109" i="4023"/>
  <c r="P109" i="4023"/>
  <c r="O109" i="4023"/>
  <c r="N109" i="4023"/>
  <c r="M109" i="4023"/>
  <c r="L109" i="4023"/>
  <c r="K109" i="4023"/>
  <c r="J109" i="4023"/>
  <c r="I109" i="4023"/>
  <c r="H109" i="4023"/>
  <c r="G109" i="4023"/>
  <c r="F109" i="4023"/>
  <c r="E109" i="4023"/>
  <c r="AN124" i="4023"/>
  <c r="D108" i="4023"/>
  <c r="AR125" i="4023"/>
  <c r="AQ125" i="4023"/>
  <c r="AP125" i="4023"/>
  <c r="AO125" i="4023"/>
  <c r="AN125" i="4023"/>
  <c r="AM125" i="4023"/>
  <c r="AL125" i="4023"/>
  <c r="AK125" i="4023"/>
  <c r="AJ125" i="4023"/>
  <c r="AI125" i="4023"/>
  <c r="AH125" i="4023"/>
  <c r="AG125" i="4023"/>
  <c r="AF125" i="4023"/>
  <c r="AE125" i="4023"/>
  <c r="AD125" i="4023"/>
  <c r="AC125" i="4023"/>
  <c r="AB125" i="4023"/>
  <c r="AA125" i="4023"/>
  <c r="Z125" i="4023"/>
  <c r="Y125" i="4023"/>
  <c r="X125" i="4023"/>
  <c r="W125" i="4023"/>
  <c r="V125" i="4023"/>
  <c r="U125" i="4023"/>
  <c r="T125" i="4023"/>
  <c r="S125" i="4023"/>
  <c r="R125" i="4023"/>
  <c r="Q125" i="4023"/>
  <c r="P125" i="4023"/>
  <c r="O125" i="4023"/>
  <c r="N125" i="4023"/>
  <c r="M125" i="4023"/>
  <c r="L125" i="4023"/>
  <c r="K125" i="4023"/>
  <c r="J125" i="4023"/>
  <c r="I125" i="4023"/>
  <c r="H125" i="4023"/>
  <c r="G125" i="4023"/>
  <c r="F125" i="4023"/>
  <c r="D107" i="4023"/>
  <c r="E106" i="4023"/>
  <c r="F106" i="4023" s="1"/>
  <c r="G106" i="4023" s="1"/>
  <c r="H106" i="4023" s="1"/>
  <c r="I106" i="4023" s="1"/>
  <c r="J106" i="4023" s="1"/>
  <c r="K106" i="4023" s="1"/>
  <c r="L106" i="4023" s="1"/>
  <c r="M106" i="4023" s="1"/>
  <c r="N106" i="4023" s="1"/>
  <c r="O106" i="4023" s="1"/>
  <c r="P106" i="4023" s="1"/>
  <c r="Q106" i="4023" s="1"/>
  <c r="R106" i="4023" s="1"/>
  <c r="S106" i="4023" s="1"/>
  <c r="T106" i="4023" s="1"/>
  <c r="U106" i="4023" s="1"/>
  <c r="V106" i="4023" s="1"/>
  <c r="W106" i="4023" s="1"/>
  <c r="X106" i="4023" s="1"/>
  <c r="Y106" i="4023" s="1"/>
  <c r="Z106" i="4023" s="1"/>
  <c r="AA106" i="4023" s="1"/>
  <c r="AB106" i="4023" s="1"/>
  <c r="AC106" i="4023" s="1"/>
  <c r="AD106" i="4023" s="1"/>
  <c r="AE106" i="4023" s="1"/>
  <c r="AF106" i="4023" s="1"/>
  <c r="AG106" i="4023" s="1"/>
  <c r="AH106" i="4023" s="1"/>
  <c r="AI106" i="4023" s="1"/>
  <c r="AJ106" i="4023" s="1"/>
  <c r="AK106" i="4023" s="1"/>
  <c r="AL106" i="4023" s="1"/>
  <c r="AM106" i="4023" s="1"/>
  <c r="AN106" i="4023" s="1"/>
  <c r="AO106" i="4023" s="1"/>
  <c r="AP106" i="4023" s="1"/>
  <c r="AQ106" i="4023" s="1"/>
  <c r="AR106" i="4023" s="1"/>
  <c r="D85" i="4023"/>
  <c r="D84" i="4023"/>
  <c r="D70" i="4023"/>
  <c r="D65" i="4023"/>
  <c r="D64" i="4023"/>
  <c r="D63" i="4023"/>
  <c r="D59" i="4023"/>
  <c r="D57" i="4023"/>
  <c r="D55" i="4023"/>
  <c r="D49" i="4023"/>
  <c r="D48" i="4023"/>
  <c r="E47" i="4023"/>
  <c r="D47" i="4023"/>
  <c r="E46" i="4023"/>
  <c r="D46" i="4023"/>
  <c r="E45" i="4023"/>
  <c r="D45" i="4023"/>
  <c r="C152" i="4023"/>
  <c r="AP115" i="4023"/>
  <c r="E13" i="4023"/>
  <c r="D13" i="4023"/>
  <c r="E12" i="4023"/>
  <c r="D43" i="4023"/>
  <c r="D5" i="4023"/>
  <c r="C154" i="4022"/>
  <c r="D151" i="4022"/>
  <c r="AR147" i="4022"/>
  <c r="AQ147" i="4022"/>
  <c r="AP147" i="4022"/>
  <c r="AO147" i="4022"/>
  <c r="AN147" i="4022"/>
  <c r="AM147" i="4022"/>
  <c r="AL147" i="4022"/>
  <c r="AK147" i="4022"/>
  <c r="AJ147" i="4022"/>
  <c r="AI147" i="4022"/>
  <c r="AH147" i="4022"/>
  <c r="AG147" i="4022"/>
  <c r="AF147" i="4022"/>
  <c r="AE147" i="4022"/>
  <c r="AD147" i="4022"/>
  <c r="AC147" i="4022"/>
  <c r="AB147" i="4022"/>
  <c r="AA147" i="4022"/>
  <c r="Z147" i="4022"/>
  <c r="Y147" i="4022"/>
  <c r="X147" i="4022"/>
  <c r="W147" i="4022"/>
  <c r="V147" i="4022"/>
  <c r="U147" i="4022"/>
  <c r="T147" i="4022"/>
  <c r="AR145" i="4022"/>
  <c r="AQ145" i="4022"/>
  <c r="AP145" i="4022"/>
  <c r="AO145" i="4022"/>
  <c r="AN145" i="4022"/>
  <c r="AM145" i="4022"/>
  <c r="AL145" i="4022"/>
  <c r="AK145" i="4022"/>
  <c r="AJ145" i="4022"/>
  <c r="AI145" i="4022"/>
  <c r="AH145" i="4022"/>
  <c r="AG145" i="4022"/>
  <c r="AF145" i="4022"/>
  <c r="AE145" i="4022"/>
  <c r="AD145" i="4022"/>
  <c r="AC145" i="4022"/>
  <c r="AB145" i="4022"/>
  <c r="AA145" i="4022"/>
  <c r="Z145" i="4022"/>
  <c r="Y145" i="4022"/>
  <c r="X145" i="4022"/>
  <c r="W145" i="4022"/>
  <c r="V145" i="4022"/>
  <c r="U145" i="4022"/>
  <c r="T145" i="4022"/>
  <c r="C145" i="4022"/>
  <c r="AR136" i="4022"/>
  <c r="AQ136" i="4022"/>
  <c r="AP136" i="4022"/>
  <c r="AO136" i="4022"/>
  <c r="AN136" i="4022"/>
  <c r="AM136" i="4022"/>
  <c r="AL136" i="4022"/>
  <c r="AK136" i="4022"/>
  <c r="AJ136" i="4022"/>
  <c r="AI136" i="4022"/>
  <c r="AH136" i="4022"/>
  <c r="AG136" i="4022"/>
  <c r="AF136" i="4022"/>
  <c r="AE136" i="4022"/>
  <c r="AD136" i="4022"/>
  <c r="AC136" i="4022"/>
  <c r="AB136" i="4022"/>
  <c r="AA136" i="4022"/>
  <c r="Z136" i="4022"/>
  <c r="Y136" i="4022"/>
  <c r="X136" i="4022"/>
  <c r="W136" i="4022"/>
  <c r="V136" i="4022"/>
  <c r="U136" i="4022"/>
  <c r="T136" i="4022"/>
  <c r="AR135" i="4022"/>
  <c r="AQ135" i="4022"/>
  <c r="AP135" i="4022"/>
  <c r="AO135" i="4022"/>
  <c r="AN135" i="4022"/>
  <c r="AM135" i="4022"/>
  <c r="AL135" i="4022"/>
  <c r="AK135" i="4022"/>
  <c r="AJ135" i="4022"/>
  <c r="AI135" i="4022"/>
  <c r="AH135" i="4022"/>
  <c r="AG135" i="4022"/>
  <c r="AF135" i="4022"/>
  <c r="AE135" i="4022"/>
  <c r="AD135" i="4022"/>
  <c r="AC135" i="4022"/>
  <c r="AB135" i="4022"/>
  <c r="AA135" i="4022"/>
  <c r="Z135" i="4022"/>
  <c r="Y135" i="4022"/>
  <c r="X135" i="4022"/>
  <c r="W135" i="4022"/>
  <c r="V135" i="4022"/>
  <c r="U135" i="4022"/>
  <c r="T135" i="4022"/>
  <c r="AR134" i="4022"/>
  <c r="AQ134" i="4022"/>
  <c r="AP134" i="4022"/>
  <c r="AO134" i="4022"/>
  <c r="AN134" i="4022"/>
  <c r="AM134" i="4022"/>
  <c r="AL134" i="4022"/>
  <c r="AK134" i="4022"/>
  <c r="AJ134" i="4022"/>
  <c r="AI134" i="4022"/>
  <c r="AH134" i="4022"/>
  <c r="AG134" i="4022"/>
  <c r="AF134" i="4022"/>
  <c r="AE134" i="4022"/>
  <c r="AD134" i="4022"/>
  <c r="AC134" i="4022"/>
  <c r="AB134" i="4022"/>
  <c r="AA134" i="4022"/>
  <c r="Z134" i="4022"/>
  <c r="Y134" i="4022"/>
  <c r="X134" i="4022"/>
  <c r="W134" i="4022"/>
  <c r="V134" i="4022"/>
  <c r="U134" i="4022"/>
  <c r="T134" i="4022"/>
  <c r="E125" i="4022"/>
  <c r="C125" i="4022"/>
  <c r="E124" i="4022"/>
  <c r="C124" i="4022"/>
  <c r="AR123" i="4022"/>
  <c r="AQ123" i="4022"/>
  <c r="AP123" i="4022"/>
  <c r="AO123" i="4022"/>
  <c r="AN123" i="4022"/>
  <c r="AM123" i="4022"/>
  <c r="AL123" i="4022"/>
  <c r="AK123" i="4022"/>
  <c r="AJ123" i="4022"/>
  <c r="AI123" i="4022"/>
  <c r="AH123" i="4022"/>
  <c r="AG123" i="4022"/>
  <c r="AF123" i="4022"/>
  <c r="AE123" i="4022"/>
  <c r="AD123" i="4022"/>
  <c r="AC123" i="4022"/>
  <c r="AB123" i="4022"/>
  <c r="AA123" i="4022"/>
  <c r="Z123" i="4022"/>
  <c r="Y123" i="4022"/>
  <c r="X123" i="4022"/>
  <c r="W123" i="4022"/>
  <c r="V123" i="4022"/>
  <c r="U123" i="4022"/>
  <c r="T123" i="4022"/>
  <c r="S123" i="4022"/>
  <c r="R123" i="4022"/>
  <c r="Q123" i="4022"/>
  <c r="P123" i="4022"/>
  <c r="O123" i="4022"/>
  <c r="N123" i="4022"/>
  <c r="M123" i="4022"/>
  <c r="L123" i="4022"/>
  <c r="K123" i="4022"/>
  <c r="J123" i="4022"/>
  <c r="I123" i="4022"/>
  <c r="H123" i="4022"/>
  <c r="G123" i="4022"/>
  <c r="F123" i="4022"/>
  <c r="E123" i="4022"/>
  <c r="AR122" i="4022"/>
  <c r="AQ122" i="4022"/>
  <c r="AP122" i="4022"/>
  <c r="AO122" i="4022"/>
  <c r="AN122" i="4022"/>
  <c r="AM122" i="4022"/>
  <c r="AL122" i="4022"/>
  <c r="AK122" i="4022"/>
  <c r="AJ122" i="4022"/>
  <c r="AI122" i="4022"/>
  <c r="AH122" i="4022"/>
  <c r="AG122" i="4022"/>
  <c r="AF122" i="4022"/>
  <c r="AE122" i="4022"/>
  <c r="AD122" i="4022"/>
  <c r="AC122" i="4022"/>
  <c r="AB122" i="4022"/>
  <c r="AA122" i="4022"/>
  <c r="Z122" i="4022"/>
  <c r="Y122" i="4022"/>
  <c r="S122" i="4022"/>
  <c r="R122" i="4022"/>
  <c r="Q122" i="4022"/>
  <c r="P122" i="4022"/>
  <c r="O122" i="4022"/>
  <c r="N122" i="4022"/>
  <c r="M122" i="4022"/>
  <c r="L122" i="4022"/>
  <c r="K122" i="4022"/>
  <c r="J122" i="4022"/>
  <c r="I122" i="4022"/>
  <c r="H122" i="4022"/>
  <c r="G122" i="4022"/>
  <c r="F122" i="4022"/>
  <c r="E122" i="4022"/>
  <c r="AR121" i="4022"/>
  <c r="AQ121" i="4022"/>
  <c r="AP121" i="4022"/>
  <c r="AO121" i="4022"/>
  <c r="AN121" i="4022"/>
  <c r="AM121" i="4022"/>
  <c r="AL121" i="4022"/>
  <c r="AK121" i="4022"/>
  <c r="AJ121" i="4022"/>
  <c r="AI121" i="4022"/>
  <c r="AH121" i="4022"/>
  <c r="AG121" i="4022"/>
  <c r="AF121" i="4022"/>
  <c r="AE121" i="4022"/>
  <c r="AD121" i="4022"/>
  <c r="AC121" i="4022"/>
  <c r="AB121" i="4022"/>
  <c r="AA121" i="4022"/>
  <c r="Z121" i="4022"/>
  <c r="Y121" i="4022"/>
  <c r="X121" i="4022"/>
  <c r="W121" i="4022"/>
  <c r="V121" i="4022"/>
  <c r="U121" i="4022"/>
  <c r="T121" i="4022"/>
  <c r="S121" i="4022"/>
  <c r="R121" i="4022"/>
  <c r="Q121" i="4022"/>
  <c r="P121" i="4022"/>
  <c r="O121" i="4022"/>
  <c r="N121" i="4022"/>
  <c r="M121" i="4022"/>
  <c r="L121" i="4022"/>
  <c r="K121" i="4022"/>
  <c r="J121" i="4022"/>
  <c r="I121" i="4022"/>
  <c r="H121" i="4022"/>
  <c r="G121" i="4022"/>
  <c r="F121" i="4022"/>
  <c r="E121" i="4022"/>
  <c r="C118" i="4022"/>
  <c r="AR117" i="4022"/>
  <c r="AQ117" i="4022"/>
  <c r="AP117" i="4022"/>
  <c r="AO117" i="4022"/>
  <c r="AN117" i="4022"/>
  <c r="AM117" i="4022"/>
  <c r="AL117" i="4022"/>
  <c r="AK117" i="4022"/>
  <c r="AJ117" i="4022"/>
  <c r="AI117" i="4022"/>
  <c r="AH117" i="4022"/>
  <c r="AG117" i="4022"/>
  <c r="AF117" i="4022"/>
  <c r="AE117" i="4022"/>
  <c r="AD117" i="4022"/>
  <c r="AC117" i="4022"/>
  <c r="AB117" i="4022"/>
  <c r="AA117" i="4022"/>
  <c r="Z117" i="4022"/>
  <c r="Y117" i="4022"/>
  <c r="X117" i="4022"/>
  <c r="W117" i="4022"/>
  <c r="V117" i="4022"/>
  <c r="U117" i="4022"/>
  <c r="T117" i="4022"/>
  <c r="S117" i="4022"/>
  <c r="R117" i="4022"/>
  <c r="Q117" i="4022"/>
  <c r="P117" i="4022"/>
  <c r="O117" i="4022"/>
  <c r="N117" i="4022"/>
  <c r="M117" i="4022"/>
  <c r="L117" i="4022"/>
  <c r="K117" i="4022"/>
  <c r="J117" i="4022"/>
  <c r="I117" i="4022"/>
  <c r="H117" i="4022"/>
  <c r="G117" i="4022"/>
  <c r="F117" i="4022"/>
  <c r="E117" i="4022"/>
  <c r="AR116" i="4022"/>
  <c r="AQ116" i="4022"/>
  <c r="AP116" i="4022"/>
  <c r="AO116" i="4022"/>
  <c r="AN116" i="4022"/>
  <c r="AM116" i="4022"/>
  <c r="AL116" i="4022"/>
  <c r="AK116" i="4022"/>
  <c r="AJ116" i="4022"/>
  <c r="AI116" i="4022"/>
  <c r="AH116" i="4022"/>
  <c r="AG116" i="4022"/>
  <c r="AF116" i="4022"/>
  <c r="AE116" i="4022"/>
  <c r="AD116" i="4022"/>
  <c r="AC116" i="4022"/>
  <c r="AB116" i="4022"/>
  <c r="AA116" i="4022"/>
  <c r="Z116" i="4022"/>
  <c r="Y116" i="4022"/>
  <c r="X116" i="4022"/>
  <c r="W116" i="4022"/>
  <c r="V116" i="4022"/>
  <c r="U116" i="4022"/>
  <c r="T116" i="4022"/>
  <c r="S116" i="4022"/>
  <c r="R116" i="4022"/>
  <c r="Q116" i="4022"/>
  <c r="P116" i="4022"/>
  <c r="O116" i="4022"/>
  <c r="N116" i="4022"/>
  <c r="M116" i="4022"/>
  <c r="L116" i="4022"/>
  <c r="K116" i="4022"/>
  <c r="J116" i="4022"/>
  <c r="I116" i="4022"/>
  <c r="H116" i="4022"/>
  <c r="G116" i="4022"/>
  <c r="F116" i="4022"/>
  <c r="E116" i="4022"/>
  <c r="C116" i="4022"/>
  <c r="C115" i="4022"/>
  <c r="AR109" i="4022"/>
  <c r="AR124" i="4022" s="1"/>
  <c r="AQ109" i="4022"/>
  <c r="AQ124" i="4022" s="1"/>
  <c r="AP109" i="4022"/>
  <c r="AP124" i="4022" s="1"/>
  <c r="AO109" i="4022"/>
  <c r="AO124" i="4022" s="1"/>
  <c r="AN109" i="4022"/>
  <c r="AN124" i="4022" s="1"/>
  <c r="AM109" i="4022"/>
  <c r="AM124" i="4022" s="1"/>
  <c r="AL109" i="4022"/>
  <c r="AL124" i="4022" s="1"/>
  <c r="AK109" i="4022"/>
  <c r="AK124" i="4022" s="1"/>
  <c r="AJ109" i="4022"/>
  <c r="AJ124" i="4022" s="1"/>
  <c r="AI109" i="4022"/>
  <c r="AI124" i="4022" s="1"/>
  <c r="AH109" i="4022"/>
  <c r="AH124" i="4022" s="1"/>
  <c r="AG109" i="4022"/>
  <c r="AG124" i="4022" s="1"/>
  <c r="AF109" i="4022"/>
  <c r="AF124" i="4022" s="1"/>
  <c r="AE109" i="4022"/>
  <c r="AE124" i="4022" s="1"/>
  <c r="AD109" i="4022"/>
  <c r="AD124" i="4022" s="1"/>
  <c r="AC109" i="4022"/>
  <c r="AC124" i="4022" s="1"/>
  <c r="AB109" i="4022"/>
  <c r="AB124" i="4022" s="1"/>
  <c r="AA109" i="4022"/>
  <c r="AA124" i="4022" s="1"/>
  <c r="Z109" i="4022"/>
  <c r="Z124" i="4022" s="1"/>
  <c r="Y109" i="4022"/>
  <c r="Y124" i="4022" s="1"/>
  <c r="X109" i="4022"/>
  <c r="W109" i="4022"/>
  <c r="V109" i="4022"/>
  <c r="U109" i="4022"/>
  <c r="T109" i="4022"/>
  <c r="S109" i="4022"/>
  <c r="R109" i="4022"/>
  <c r="Q109" i="4022"/>
  <c r="P109" i="4022"/>
  <c r="O109" i="4022"/>
  <c r="N109" i="4022"/>
  <c r="M109" i="4022"/>
  <c r="L109" i="4022"/>
  <c r="K109" i="4022"/>
  <c r="J109" i="4022"/>
  <c r="I109" i="4022"/>
  <c r="H109" i="4022"/>
  <c r="G109" i="4022"/>
  <c r="F109" i="4022"/>
  <c r="E109" i="4022"/>
  <c r="D108" i="4022"/>
  <c r="AR125" i="4022"/>
  <c r="AQ125" i="4022"/>
  <c r="AP125" i="4022"/>
  <c r="AO125" i="4022"/>
  <c r="AN125" i="4022"/>
  <c r="AM125" i="4022"/>
  <c r="AL125" i="4022"/>
  <c r="AK125" i="4022"/>
  <c r="AJ125" i="4022"/>
  <c r="AI125" i="4022"/>
  <c r="AH125" i="4022"/>
  <c r="AG125" i="4022"/>
  <c r="AF125" i="4022"/>
  <c r="AE125" i="4022"/>
  <c r="AD125" i="4022"/>
  <c r="AC125" i="4022"/>
  <c r="AB125" i="4022"/>
  <c r="AA125" i="4022"/>
  <c r="Z125" i="4022"/>
  <c r="Y125" i="4022"/>
  <c r="X125" i="4022"/>
  <c r="W125" i="4022"/>
  <c r="V125" i="4022"/>
  <c r="U125" i="4022"/>
  <c r="T125" i="4022"/>
  <c r="S125" i="4022"/>
  <c r="R125" i="4022"/>
  <c r="Q125" i="4022"/>
  <c r="P125" i="4022"/>
  <c r="O125" i="4022"/>
  <c r="N125" i="4022"/>
  <c r="M125" i="4022"/>
  <c r="L125" i="4022"/>
  <c r="K125" i="4022"/>
  <c r="J125" i="4022"/>
  <c r="I125" i="4022"/>
  <c r="H125" i="4022"/>
  <c r="G125" i="4022"/>
  <c r="F125" i="4022"/>
  <c r="D107" i="4022"/>
  <c r="E106" i="4022"/>
  <c r="F106" i="4022" s="1"/>
  <c r="G106" i="4022" s="1"/>
  <c r="H106" i="4022" s="1"/>
  <c r="I106" i="4022" s="1"/>
  <c r="J106" i="4022" s="1"/>
  <c r="K106" i="4022" s="1"/>
  <c r="L106" i="4022" s="1"/>
  <c r="M106" i="4022" s="1"/>
  <c r="N106" i="4022" s="1"/>
  <c r="O106" i="4022" s="1"/>
  <c r="P106" i="4022" s="1"/>
  <c r="Q106" i="4022" s="1"/>
  <c r="R106" i="4022" s="1"/>
  <c r="S106" i="4022" s="1"/>
  <c r="T106" i="4022" s="1"/>
  <c r="U106" i="4022" s="1"/>
  <c r="V106" i="4022" s="1"/>
  <c r="W106" i="4022" s="1"/>
  <c r="X106" i="4022" s="1"/>
  <c r="Y106" i="4022" s="1"/>
  <c r="Z106" i="4022" s="1"/>
  <c r="AA106" i="4022" s="1"/>
  <c r="AB106" i="4022" s="1"/>
  <c r="AC106" i="4022" s="1"/>
  <c r="AD106" i="4022" s="1"/>
  <c r="AE106" i="4022" s="1"/>
  <c r="AF106" i="4022" s="1"/>
  <c r="AG106" i="4022" s="1"/>
  <c r="AH106" i="4022" s="1"/>
  <c r="AI106" i="4022" s="1"/>
  <c r="AJ106" i="4022" s="1"/>
  <c r="AK106" i="4022" s="1"/>
  <c r="AL106" i="4022" s="1"/>
  <c r="AM106" i="4022" s="1"/>
  <c r="AN106" i="4022" s="1"/>
  <c r="AO106" i="4022" s="1"/>
  <c r="AP106" i="4022" s="1"/>
  <c r="AQ106" i="4022" s="1"/>
  <c r="AR106" i="4022" s="1"/>
  <c r="D85" i="4022"/>
  <c r="D84" i="4022"/>
  <c r="D70" i="4022"/>
  <c r="D65" i="4022"/>
  <c r="D64" i="4022"/>
  <c r="D63" i="4022"/>
  <c r="D59" i="4022"/>
  <c r="D57" i="4022"/>
  <c r="D55" i="4022"/>
  <c r="D49" i="4022"/>
  <c r="D48" i="4022"/>
  <c r="E47" i="4022"/>
  <c r="D47" i="4022"/>
  <c r="E46" i="4022"/>
  <c r="D46" i="4022"/>
  <c r="E45" i="4022"/>
  <c r="D45" i="4022"/>
  <c r="C152" i="4022"/>
  <c r="D113" i="4022" s="1"/>
  <c r="D146" i="4022" s="1"/>
  <c r="E13" i="4022"/>
  <c r="D13" i="4022"/>
  <c r="E12" i="4022"/>
  <c r="D43" i="4022"/>
  <c r="D5" i="4022"/>
  <c r="C154" i="4021"/>
  <c r="D151" i="4021"/>
  <c r="AR147" i="4021"/>
  <c r="AQ147" i="4021"/>
  <c r="AP147" i="4021"/>
  <c r="AO147" i="4021"/>
  <c r="AN147" i="4021"/>
  <c r="AM147" i="4021"/>
  <c r="AL147" i="4021"/>
  <c r="AK147" i="4021"/>
  <c r="AJ147" i="4021"/>
  <c r="AI147" i="4021"/>
  <c r="AH147" i="4021"/>
  <c r="AG147" i="4021"/>
  <c r="AF147" i="4021"/>
  <c r="AE147" i="4021"/>
  <c r="AD147" i="4021"/>
  <c r="AC147" i="4021"/>
  <c r="AB147" i="4021"/>
  <c r="AA147" i="4021"/>
  <c r="Z147" i="4021"/>
  <c r="Y147" i="4021"/>
  <c r="X147" i="4021"/>
  <c r="W147" i="4021"/>
  <c r="V147" i="4021"/>
  <c r="U147" i="4021"/>
  <c r="T147" i="4021"/>
  <c r="AR145" i="4021"/>
  <c r="AQ145" i="4021"/>
  <c r="AP145" i="4021"/>
  <c r="AO145" i="4021"/>
  <c r="AN145" i="4021"/>
  <c r="AM145" i="4021"/>
  <c r="AL145" i="4021"/>
  <c r="AK145" i="4021"/>
  <c r="AJ145" i="4021"/>
  <c r="AI145" i="4021"/>
  <c r="AH145" i="4021"/>
  <c r="AG145" i="4021"/>
  <c r="AF145" i="4021"/>
  <c r="AE145" i="4021"/>
  <c r="AD145" i="4021"/>
  <c r="AC145" i="4021"/>
  <c r="AB145" i="4021"/>
  <c r="AA145" i="4021"/>
  <c r="Z145" i="4021"/>
  <c r="Y145" i="4021"/>
  <c r="X145" i="4021"/>
  <c r="W145" i="4021"/>
  <c r="V145" i="4021"/>
  <c r="U145" i="4021"/>
  <c r="T145" i="4021"/>
  <c r="C145" i="4021"/>
  <c r="AR136" i="4021"/>
  <c r="AQ136" i="4021"/>
  <c r="AP136" i="4021"/>
  <c r="AO136" i="4021"/>
  <c r="AN136" i="4021"/>
  <c r="AM136" i="4021"/>
  <c r="AL136" i="4021"/>
  <c r="AK136" i="4021"/>
  <c r="AJ136" i="4021"/>
  <c r="AI136" i="4021"/>
  <c r="AH136" i="4021"/>
  <c r="AG136" i="4021"/>
  <c r="AF136" i="4021"/>
  <c r="AE136" i="4021"/>
  <c r="AD136" i="4021"/>
  <c r="AC136" i="4021"/>
  <c r="AB136" i="4021"/>
  <c r="AA136" i="4021"/>
  <c r="Z136" i="4021"/>
  <c r="Y136" i="4021"/>
  <c r="X136" i="4021"/>
  <c r="W136" i="4021"/>
  <c r="V136" i="4021"/>
  <c r="U136" i="4021"/>
  <c r="T136" i="4021"/>
  <c r="AR135" i="4021"/>
  <c r="AQ135" i="4021"/>
  <c r="AP135" i="4021"/>
  <c r="AO135" i="4021"/>
  <c r="AN135" i="4021"/>
  <c r="AM135" i="4021"/>
  <c r="AL135" i="4021"/>
  <c r="AK135" i="4021"/>
  <c r="AJ135" i="4021"/>
  <c r="AI135" i="4021"/>
  <c r="AH135" i="4021"/>
  <c r="AG135" i="4021"/>
  <c r="AF135" i="4021"/>
  <c r="AE135" i="4021"/>
  <c r="AD135" i="4021"/>
  <c r="AC135" i="4021"/>
  <c r="AB135" i="4021"/>
  <c r="AA135" i="4021"/>
  <c r="Z135" i="4021"/>
  <c r="Y135" i="4021"/>
  <c r="X135" i="4021"/>
  <c r="W135" i="4021"/>
  <c r="V135" i="4021"/>
  <c r="U135" i="4021"/>
  <c r="T135" i="4021"/>
  <c r="AR134" i="4021"/>
  <c r="AQ134" i="4021"/>
  <c r="AP134" i="4021"/>
  <c r="AO134" i="4021"/>
  <c r="AN134" i="4021"/>
  <c r="AM134" i="4021"/>
  <c r="AL134" i="4021"/>
  <c r="AK134" i="4021"/>
  <c r="AJ134" i="4021"/>
  <c r="AI134" i="4021"/>
  <c r="AH134" i="4021"/>
  <c r="AG134" i="4021"/>
  <c r="AF134" i="4021"/>
  <c r="AE134" i="4021"/>
  <c r="AD134" i="4021"/>
  <c r="AC134" i="4021"/>
  <c r="AB134" i="4021"/>
  <c r="AA134" i="4021"/>
  <c r="Z134" i="4021"/>
  <c r="Y134" i="4021"/>
  <c r="X134" i="4021"/>
  <c r="W134" i="4021"/>
  <c r="V134" i="4021"/>
  <c r="U134" i="4021"/>
  <c r="T134" i="4021"/>
  <c r="E125" i="4021"/>
  <c r="C125" i="4021"/>
  <c r="E124" i="4021"/>
  <c r="C124" i="4021"/>
  <c r="AR123" i="4021"/>
  <c r="AQ123" i="4021"/>
  <c r="AP123" i="4021"/>
  <c r="AO123" i="4021"/>
  <c r="AN123" i="4021"/>
  <c r="AM123" i="4021"/>
  <c r="AL123" i="4021"/>
  <c r="AK123" i="4021"/>
  <c r="AJ123" i="4021"/>
  <c r="AI123" i="4021"/>
  <c r="AH123" i="4021"/>
  <c r="AG123" i="4021"/>
  <c r="AF123" i="4021"/>
  <c r="AE123" i="4021"/>
  <c r="AD123" i="4021"/>
  <c r="AC123" i="4021"/>
  <c r="AB123" i="4021"/>
  <c r="AA123" i="4021"/>
  <c r="Z123" i="4021"/>
  <c r="Y123" i="4021"/>
  <c r="X123" i="4021"/>
  <c r="W123" i="4021"/>
  <c r="V123" i="4021"/>
  <c r="U123" i="4021"/>
  <c r="T123" i="4021"/>
  <c r="S123" i="4021"/>
  <c r="R123" i="4021"/>
  <c r="Q123" i="4021"/>
  <c r="P123" i="4021"/>
  <c r="O123" i="4021"/>
  <c r="N123" i="4021"/>
  <c r="M123" i="4021"/>
  <c r="L123" i="4021"/>
  <c r="K123" i="4021"/>
  <c r="J123" i="4021"/>
  <c r="I123" i="4021"/>
  <c r="H123" i="4021"/>
  <c r="G123" i="4021"/>
  <c r="F123" i="4021"/>
  <c r="E123" i="4021"/>
  <c r="AR122" i="4021"/>
  <c r="AQ122" i="4021"/>
  <c r="AP122" i="4021"/>
  <c r="AO122" i="4021"/>
  <c r="AN122" i="4021"/>
  <c r="AM122" i="4021"/>
  <c r="AL122" i="4021"/>
  <c r="AK122" i="4021"/>
  <c r="AJ122" i="4021"/>
  <c r="AI122" i="4021"/>
  <c r="AH122" i="4021"/>
  <c r="AG122" i="4021"/>
  <c r="AF122" i="4021"/>
  <c r="AE122" i="4021"/>
  <c r="AD122" i="4021"/>
  <c r="AC122" i="4021"/>
  <c r="AB122" i="4021"/>
  <c r="AA122" i="4021"/>
  <c r="Z122" i="4021"/>
  <c r="Y122" i="4021"/>
  <c r="S122" i="4021"/>
  <c r="R122" i="4021"/>
  <c r="Q122" i="4021"/>
  <c r="P122" i="4021"/>
  <c r="O122" i="4021"/>
  <c r="N122" i="4021"/>
  <c r="M122" i="4021"/>
  <c r="L122" i="4021"/>
  <c r="K122" i="4021"/>
  <c r="J122" i="4021"/>
  <c r="I122" i="4021"/>
  <c r="H122" i="4021"/>
  <c r="G122" i="4021"/>
  <c r="F122" i="4021"/>
  <c r="E122" i="4021"/>
  <c r="AR121" i="4021"/>
  <c r="AQ121" i="4021"/>
  <c r="AP121" i="4021"/>
  <c r="AO121" i="4021"/>
  <c r="AN121" i="4021"/>
  <c r="AM121" i="4021"/>
  <c r="AL121" i="4021"/>
  <c r="AK121" i="4021"/>
  <c r="AJ121" i="4021"/>
  <c r="AI121" i="4021"/>
  <c r="AH121" i="4021"/>
  <c r="AG121" i="4021"/>
  <c r="AF121" i="4021"/>
  <c r="AE121" i="4021"/>
  <c r="AD121" i="4021"/>
  <c r="AC121" i="4021"/>
  <c r="AB121" i="4021"/>
  <c r="AA121" i="4021"/>
  <c r="Z121" i="4021"/>
  <c r="Y121" i="4021"/>
  <c r="X121" i="4021"/>
  <c r="W121" i="4021"/>
  <c r="V121" i="4021"/>
  <c r="U121" i="4021"/>
  <c r="T121" i="4021"/>
  <c r="S121" i="4021"/>
  <c r="R121" i="4021"/>
  <c r="Q121" i="4021"/>
  <c r="P121" i="4021"/>
  <c r="O121" i="4021"/>
  <c r="N121" i="4021"/>
  <c r="M121" i="4021"/>
  <c r="L121" i="4021"/>
  <c r="K121" i="4021"/>
  <c r="J121" i="4021"/>
  <c r="I121" i="4021"/>
  <c r="H121" i="4021"/>
  <c r="G121" i="4021"/>
  <c r="F121" i="4021"/>
  <c r="E121" i="4021"/>
  <c r="C118" i="4021"/>
  <c r="AR117" i="4021"/>
  <c r="AQ117" i="4021"/>
  <c r="AP117" i="4021"/>
  <c r="AO117" i="4021"/>
  <c r="AN117" i="4021"/>
  <c r="AM117" i="4021"/>
  <c r="AL117" i="4021"/>
  <c r="AK117" i="4021"/>
  <c r="AJ117" i="4021"/>
  <c r="AI117" i="4021"/>
  <c r="AH117" i="4021"/>
  <c r="AG117" i="4021"/>
  <c r="AF117" i="4021"/>
  <c r="AE117" i="4021"/>
  <c r="AD117" i="4021"/>
  <c r="AC117" i="4021"/>
  <c r="AB117" i="4021"/>
  <c r="AA117" i="4021"/>
  <c r="Z117" i="4021"/>
  <c r="Y117" i="4021"/>
  <c r="X117" i="4021"/>
  <c r="W117" i="4021"/>
  <c r="V117" i="4021"/>
  <c r="U117" i="4021"/>
  <c r="T117" i="4021"/>
  <c r="S117" i="4021"/>
  <c r="R117" i="4021"/>
  <c r="Q117" i="4021"/>
  <c r="P117" i="4021"/>
  <c r="O117" i="4021"/>
  <c r="N117" i="4021"/>
  <c r="M117" i="4021"/>
  <c r="L117" i="4021"/>
  <c r="K117" i="4021"/>
  <c r="J117" i="4021"/>
  <c r="I117" i="4021"/>
  <c r="H117" i="4021"/>
  <c r="G117" i="4021"/>
  <c r="F117" i="4021"/>
  <c r="E117" i="4021"/>
  <c r="AR116" i="4021"/>
  <c r="AQ116" i="4021"/>
  <c r="AP116" i="4021"/>
  <c r="AO116" i="4021"/>
  <c r="AN116" i="4021"/>
  <c r="AM116" i="4021"/>
  <c r="AL116" i="4021"/>
  <c r="AK116" i="4021"/>
  <c r="AJ116" i="4021"/>
  <c r="AI116" i="4021"/>
  <c r="AH116" i="4021"/>
  <c r="AG116" i="4021"/>
  <c r="AF116" i="4021"/>
  <c r="AE116" i="4021"/>
  <c r="AD116" i="4021"/>
  <c r="AC116" i="4021"/>
  <c r="AB116" i="4021"/>
  <c r="AA116" i="4021"/>
  <c r="Z116" i="4021"/>
  <c r="Y116" i="4021"/>
  <c r="X116" i="4021"/>
  <c r="W116" i="4021"/>
  <c r="V116" i="4021"/>
  <c r="U116" i="4021"/>
  <c r="T116" i="4021"/>
  <c r="S116" i="4021"/>
  <c r="R116" i="4021"/>
  <c r="Q116" i="4021"/>
  <c r="P116" i="4021"/>
  <c r="O116" i="4021"/>
  <c r="N116" i="4021"/>
  <c r="M116" i="4021"/>
  <c r="L116" i="4021"/>
  <c r="K116" i="4021"/>
  <c r="J116" i="4021"/>
  <c r="I116" i="4021"/>
  <c r="H116" i="4021"/>
  <c r="G116" i="4021"/>
  <c r="F116" i="4021"/>
  <c r="E116" i="4021"/>
  <c r="C116" i="4021"/>
  <c r="C115" i="4021"/>
  <c r="AR109" i="4021"/>
  <c r="AR124" i="4021" s="1"/>
  <c r="AQ109" i="4021"/>
  <c r="AQ124" i="4021" s="1"/>
  <c r="AP109" i="4021"/>
  <c r="AP124" i="4021" s="1"/>
  <c r="AO109" i="4021"/>
  <c r="AO124" i="4021" s="1"/>
  <c r="AN109" i="4021"/>
  <c r="AN124" i="4021" s="1"/>
  <c r="AM109" i="4021"/>
  <c r="AM124" i="4021" s="1"/>
  <c r="AL109" i="4021"/>
  <c r="AL124" i="4021" s="1"/>
  <c r="AK109" i="4021"/>
  <c r="AK124" i="4021" s="1"/>
  <c r="AJ109" i="4021"/>
  <c r="AJ124" i="4021" s="1"/>
  <c r="AI109" i="4021"/>
  <c r="AI124" i="4021" s="1"/>
  <c r="AH109" i="4021"/>
  <c r="AH124" i="4021" s="1"/>
  <c r="AG109" i="4021"/>
  <c r="AG124" i="4021" s="1"/>
  <c r="AF109" i="4021"/>
  <c r="AF124" i="4021" s="1"/>
  <c r="AE109" i="4021"/>
  <c r="AE124" i="4021" s="1"/>
  <c r="AD109" i="4021"/>
  <c r="AD124" i="4021" s="1"/>
  <c r="AC109" i="4021"/>
  <c r="AC124" i="4021" s="1"/>
  <c r="AB109" i="4021"/>
  <c r="AB124" i="4021" s="1"/>
  <c r="AA109" i="4021"/>
  <c r="AA124" i="4021" s="1"/>
  <c r="Z109" i="4021"/>
  <c r="Z124" i="4021" s="1"/>
  <c r="Y109" i="4021"/>
  <c r="Y124" i="4021" s="1"/>
  <c r="X109" i="4021"/>
  <c r="W109" i="4021"/>
  <c r="V109" i="4021"/>
  <c r="U109" i="4021"/>
  <c r="T109" i="4021"/>
  <c r="S109" i="4021"/>
  <c r="R109" i="4021"/>
  <c r="Q109" i="4021"/>
  <c r="P109" i="4021"/>
  <c r="O109" i="4021"/>
  <c r="N109" i="4021"/>
  <c r="M109" i="4021"/>
  <c r="L109" i="4021"/>
  <c r="K109" i="4021"/>
  <c r="J109" i="4021"/>
  <c r="I109" i="4021"/>
  <c r="H109" i="4021"/>
  <c r="G109" i="4021"/>
  <c r="F109" i="4021"/>
  <c r="E109" i="4021"/>
  <c r="D108" i="4021"/>
  <c r="AR125" i="4021"/>
  <c r="AQ125" i="4021"/>
  <c r="AP125" i="4021"/>
  <c r="AO125" i="4021"/>
  <c r="AN125" i="4021"/>
  <c r="AM125" i="4021"/>
  <c r="AL125" i="4021"/>
  <c r="AK125" i="4021"/>
  <c r="AJ125" i="4021"/>
  <c r="AI125" i="4021"/>
  <c r="AH125" i="4021"/>
  <c r="AG125" i="4021"/>
  <c r="AF125" i="4021"/>
  <c r="AE125" i="4021"/>
  <c r="AD125" i="4021"/>
  <c r="AC125" i="4021"/>
  <c r="AB125" i="4021"/>
  <c r="AA125" i="4021"/>
  <c r="Z125" i="4021"/>
  <c r="Y125" i="4021"/>
  <c r="X125" i="4021"/>
  <c r="W125" i="4021"/>
  <c r="V125" i="4021"/>
  <c r="U125" i="4021"/>
  <c r="T125" i="4021"/>
  <c r="S125" i="4021"/>
  <c r="R125" i="4021"/>
  <c r="Q125" i="4021"/>
  <c r="P125" i="4021"/>
  <c r="O125" i="4021"/>
  <c r="N125" i="4021"/>
  <c r="M125" i="4021"/>
  <c r="L125" i="4021"/>
  <c r="K125" i="4021"/>
  <c r="J125" i="4021"/>
  <c r="I125" i="4021"/>
  <c r="H125" i="4021"/>
  <c r="G125" i="4021"/>
  <c r="F125" i="4021"/>
  <c r="D107" i="4021"/>
  <c r="E106" i="4021"/>
  <c r="F106" i="4021" s="1"/>
  <c r="G106" i="4021" s="1"/>
  <c r="H106" i="4021" s="1"/>
  <c r="I106" i="4021" s="1"/>
  <c r="J106" i="4021" s="1"/>
  <c r="K106" i="4021" s="1"/>
  <c r="L106" i="4021" s="1"/>
  <c r="M106" i="4021" s="1"/>
  <c r="N106" i="4021" s="1"/>
  <c r="O106" i="4021" s="1"/>
  <c r="P106" i="4021" s="1"/>
  <c r="Q106" i="4021" s="1"/>
  <c r="R106" i="4021" s="1"/>
  <c r="S106" i="4021" s="1"/>
  <c r="T106" i="4021" s="1"/>
  <c r="U106" i="4021" s="1"/>
  <c r="V106" i="4021" s="1"/>
  <c r="W106" i="4021" s="1"/>
  <c r="X106" i="4021" s="1"/>
  <c r="Y106" i="4021" s="1"/>
  <c r="Z106" i="4021" s="1"/>
  <c r="AA106" i="4021" s="1"/>
  <c r="AB106" i="4021" s="1"/>
  <c r="AC106" i="4021" s="1"/>
  <c r="AD106" i="4021" s="1"/>
  <c r="AE106" i="4021" s="1"/>
  <c r="AF106" i="4021" s="1"/>
  <c r="AG106" i="4021" s="1"/>
  <c r="AH106" i="4021" s="1"/>
  <c r="AI106" i="4021" s="1"/>
  <c r="AJ106" i="4021" s="1"/>
  <c r="AK106" i="4021" s="1"/>
  <c r="AL106" i="4021" s="1"/>
  <c r="AM106" i="4021" s="1"/>
  <c r="AN106" i="4021" s="1"/>
  <c r="AO106" i="4021" s="1"/>
  <c r="AP106" i="4021" s="1"/>
  <c r="AQ106" i="4021" s="1"/>
  <c r="AR106" i="4021" s="1"/>
  <c r="D85" i="4021"/>
  <c r="D84" i="4021"/>
  <c r="D70" i="4021"/>
  <c r="D65" i="4021"/>
  <c r="D64" i="4021"/>
  <c r="D63" i="4021"/>
  <c r="D59" i="4021"/>
  <c r="D57" i="4021"/>
  <c r="D55" i="4021"/>
  <c r="D49" i="4021"/>
  <c r="D48" i="4021"/>
  <c r="E47" i="4021"/>
  <c r="D47" i="4021"/>
  <c r="E46" i="4021"/>
  <c r="D46" i="4021"/>
  <c r="E45" i="4021"/>
  <c r="D45" i="4021"/>
  <c r="C152" i="4021"/>
  <c r="O134" i="4021" s="1"/>
  <c r="E13" i="4021"/>
  <c r="D13" i="4021"/>
  <c r="E12" i="4021"/>
  <c r="D5" i="4021"/>
  <c r="C154" i="4020"/>
  <c r="D151" i="4020"/>
  <c r="AR147" i="4020"/>
  <c r="AQ147" i="4020"/>
  <c r="AP147" i="4020"/>
  <c r="AO147" i="4020"/>
  <c r="AN147" i="4020"/>
  <c r="AM147" i="4020"/>
  <c r="AL147" i="4020"/>
  <c r="AK147" i="4020"/>
  <c r="AJ147" i="4020"/>
  <c r="AI147" i="4020"/>
  <c r="AH147" i="4020"/>
  <c r="AG147" i="4020"/>
  <c r="AF147" i="4020"/>
  <c r="AE147" i="4020"/>
  <c r="AD147" i="4020"/>
  <c r="AC147" i="4020"/>
  <c r="AB147" i="4020"/>
  <c r="AA147" i="4020"/>
  <c r="Z147" i="4020"/>
  <c r="Y147" i="4020"/>
  <c r="X147" i="4020"/>
  <c r="W147" i="4020"/>
  <c r="V147" i="4020"/>
  <c r="U147" i="4020"/>
  <c r="T147" i="4020"/>
  <c r="AR145" i="4020"/>
  <c r="AQ145" i="4020"/>
  <c r="AP145" i="4020"/>
  <c r="AO145" i="4020"/>
  <c r="AN145" i="4020"/>
  <c r="AM145" i="4020"/>
  <c r="AL145" i="4020"/>
  <c r="AK145" i="4020"/>
  <c r="AJ145" i="4020"/>
  <c r="AI145" i="4020"/>
  <c r="AH145" i="4020"/>
  <c r="AG145" i="4020"/>
  <c r="AF145" i="4020"/>
  <c r="AE145" i="4020"/>
  <c r="AD145" i="4020"/>
  <c r="AC145" i="4020"/>
  <c r="AB145" i="4020"/>
  <c r="AA145" i="4020"/>
  <c r="Z145" i="4020"/>
  <c r="Y145" i="4020"/>
  <c r="X145" i="4020"/>
  <c r="W145" i="4020"/>
  <c r="V145" i="4020"/>
  <c r="U145" i="4020"/>
  <c r="T145" i="4020"/>
  <c r="C145" i="4020"/>
  <c r="AR136" i="4020"/>
  <c r="AQ136" i="4020"/>
  <c r="AP136" i="4020"/>
  <c r="AO136" i="4020"/>
  <c r="AN136" i="4020"/>
  <c r="AM136" i="4020"/>
  <c r="AL136" i="4020"/>
  <c r="AK136" i="4020"/>
  <c r="AJ136" i="4020"/>
  <c r="AI136" i="4020"/>
  <c r="AH136" i="4020"/>
  <c r="AG136" i="4020"/>
  <c r="AF136" i="4020"/>
  <c r="AE136" i="4020"/>
  <c r="AD136" i="4020"/>
  <c r="AC136" i="4020"/>
  <c r="AB136" i="4020"/>
  <c r="AA136" i="4020"/>
  <c r="Z136" i="4020"/>
  <c r="Y136" i="4020"/>
  <c r="X136" i="4020"/>
  <c r="W136" i="4020"/>
  <c r="V136" i="4020"/>
  <c r="U136" i="4020"/>
  <c r="T136" i="4020"/>
  <c r="AR135" i="4020"/>
  <c r="AQ135" i="4020"/>
  <c r="AP135" i="4020"/>
  <c r="AO135" i="4020"/>
  <c r="AN135" i="4020"/>
  <c r="AM135" i="4020"/>
  <c r="AL135" i="4020"/>
  <c r="AK135" i="4020"/>
  <c r="AJ135" i="4020"/>
  <c r="AI135" i="4020"/>
  <c r="AH135" i="4020"/>
  <c r="AG135" i="4020"/>
  <c r="AF135" i="4020"/>
  <c r="AE135" i="4020"/>
  <c r="AD135" i="4020"/>
  <c r="AC135" i="4020"/>
  <c r="AB135" i="4020"/>
  <c r="AA135" i="4020"/>
  <c r="Z135" i="4020"/>
  <c r="Y135" i="4020"/>
  <c r="X135" i="4020"/>
  <c r="W135" i="4020"/>
  <c r="V135" i="4020"/>
  <c r="U135" i="4020"/>
  <c r="T135" i="4020"/>
  <c r="AR134" i="4020"/>
  <c r="AQ134" i="4020"/>
  <c r="AP134" i="4020"/>
  <c r="AO134" i="4020"/>
  <c r="AN134" i="4020"/>
  <c r="AM134" i="4020"/>
  <c r="AL134" i="4020"/>
  <c r="AK134" i="4020"/>
  <c r="AJ134" i="4020"/>
  <c r="AI134" i="4020"/>
  <c r="AH134" i="4020"/>
  <c r="AG134" i="4020"/>
  <c r="AF134" i="4020"/>
  <c r="AE134" i="4020"/>
  <c r="AD134" i="4020"/>
  <c r="AC134" i="4020"/>
  <c r="AB134" i="4020"/>
  <c r="AA134" i="4020"/>
  <c r="Z134" i="4020"/>
  <c r="Y134" i="4020"/>
  <c r="X134" i="4020"/>
  <c r="W134" i="4020"/>
  <c r="V134" i="4020"/>
  <c r="U134" i="4020"/>
  <c r="T134" i="4020"/>
  <c r="E125" i="4020"/>
  <c r="C125" i="4020"/>
  <c r="E124" i="4020"/>
  <c r="C124" i="4020"/>
  <c r="AR123" i="4020"/>
  <c r="AQ123" i="4020"/>
  <c r="AP123" i="4020"/>
  <c r="AO123" i="4020"/>
  <c r="AN123" i="4020"/>
  <c r="AM123" i="4020"/>
  <c r="AL123" i="4020"/>
  <c r="AK123" i="4020"/>
  <c r="AJ123" i="4020"/>
  <c r="AI123" i="4020"/>
  <c r="AH123" i="4020"/>
  <c r="AG123" i="4020"/>
  <c r="AF123" i="4020"/>
  <c r="AE123" i="4020"/>
  <c r="AD123" i="4020"/>
  <c r="AC123" i="4020"/>
  <c r="AB123" i="4020"/>
  <c r="AA123" i="4020"/>
  <c r="Z123" i="4020"/>
  <c r="Y123" i="4020"/>
  <c r="X123" i="4020"/>
  <c r="W123" i="4020"/>
  <c r="V123" i="4020"/>
  <c r="U123" i="4020"/>
  <c r="T123" i="4020"/>
  <c r="S123" i="4020"/>
  <c r="R123" i="4020"/>
  <c r="Q123" i="4020"/>
  <c r="P123" i="4020"/>
  <c r="O123" i="4020"/>
  <c r="N123" i="4020"/>
  <c r="M123" i="4020"/>
  <c r="L123" i="4020"/>
  <c r="K123" i="4020"/>
  <c r="J123" i="4020"/>
  <c r="I123" i="4020"/>
  <c r="H123" i="4020"/>
  <c r="G123" i="4020"/>
  <c r="F123" i="4020"/>
  <c r="E123" i="4020"/>
  <c r="AR122" i="4020"/>
  <c r="AQ122" i="4020"/>
  <c r="AP122" i="4020"/>
  <c r="AO122" i="4020"/>
  <c r="AN122" i="4020"/>
  <c r="AM122" i="4020"/>
  <c r="AL122" i="4020"/>
  <c r="AK122" i="4020"/>
  <c r="AJ122" i="4020"/>
  <c r="AI122" i="4020"/>
  <c r="AH122" i="4020"/>
  <c r="AG122" i="4020"/>
  <c r="AF122" i="4020"/>
  <c r="AE122" i="4020"/>
  <c r="AD122" i="4020"/>
  <c r="AC122" i="4020"/>
  <c r="AB122" i="4020"/>
  <c r="AA122" i="4020"/>
  <c r="Z122" i="4020"/>
  <c r="Y122" i="4020"/>
  <c r="S122" i="4020"/>
  <c r="R122" i="4020"/>
  <c r="Q122" i="4020"/>
  <c r="P122" i="4020"/>
  <c r="O122" i="4020"/>
  <c r="N122" i="4020"/>
  <c r="M122" i="4020"/>
  <c r="L122" i="4020"/>
  <c r="K122" i="4020"/>
  <c r="J122" i="4020"/>
  <c r="I122" i="4020"/>
  <c r="H122" i="4020"/>
  <c r="G122" i="4020"/>
  <c r="F122" i="4020"/>
  <c r="E122" i="4020"/>
  <c r="AR121" i="4020"/>
  <c r="AQ121" i="4020"/>
  <c r="AP121" i="4020"/>
  <c r="AO121" i="4020"/>
  <c r="AN121" i="4020"/>
  <c r="AM121" i="4020"/>
  <c r="AL121" i="4020"/>
  <c r="AK121" i="4020"/>
  <c r="AJ121" i="4020"/>
  <c r="AI121" i="4020"/>
  <c r="AH121" i="4020"/>
  <c r="AG121" i="4020"/>
  <c r="AF121" i="4020"/>
  <c r="AE121" i="4020"/>
  <c r="AD121" i="4020"/>
  <c r="AC121" i="4020"/>
  <c r="AB121" i="4020"/>
  <c r="AA121" i="4020"/>
  <c r="Z121" i="4020"/>
  <c r="Y121" i="4020"/>
  <c r="X121" i="4020"/>
  <c r="W121" i="4020"/>
  <c r="V121" i="4020"/>
  <c r="U121" i="4020"/>
  <c r="T121" i="4020"/>
  <c r="S121" i="4020"/>
  <c r="R121" i="4020"/>
  <c r="Q121" i="4020"/>
  <c r="P121" i="4020"/>
  <c r="O121" i="4020"/>
  <c r="N121" i="4020"/>
  <c r="M121" i="4020"/>
  <c r="L121" i="4020"/>
  <c r="K121" i="4020"/>
  <c r="J121" i="4020"/>
  <c r="I121" i="4020"/>
  <c r="H121" i="4020"/>
  <c r="G121" i="4020"/>
  <c r="F121" i="4020"/>
  <c r="E121" i="4020"/>
  <c r="C118" i="4020"/>
  <c r="AR117" i="4020"/>
  <c r="AQ117" i="4020"/>
  <c r="AP117" i="4020"/>
  <c r="AO117" i="4020"/>
  <c r="AN117" i="4020"/>
  <c r="AM117" i="4020"/>
  <c r="AL117" i="4020"/>
  <c r="AK117" i="4020"/>
  <c r="AJ117" i="4020"/>
  <c r="AI117" i="4020"/>
  <c r="AH117" i="4020"/>
  <c r="AG117" i="4020"/>
  <c r="AF117" i="4020"/>
  <c r="AE117" i="4020"/>
  <c r="AD117" i="4020"/>
  <c r="AC117" i="4020"/>
  <c r="AB117" i="4020"/>
  <c r="AA117" i="4020"/>
  <c r="Z117" i="4020"/>
  <c r="Y117" i="4020"/>
  <c r="X117" i="4020"/>
  <c r="W117" i="4020"/>
  <c r="V117" i="4020"/>
  <c r="U117" i="4020"/>
  <c r="T117" i="4020"/>
  <c r="S117" i="4020"/>
  <c r="R117" i="4020"/>
  <c r="Q117" i="4020"/>
  <c r="P117" i="4020"/>
  <c r="O117" i="4020"/>
  <c r="N117" i="4020"/>
  <c r="M117" i="4020"/>
  <c r="L117" i="4020"/>
  <c r="K117" i="4020"/>
  <c r="J117" i="4020"/>
  <c r="I117" i="4020"/>
  <c r="H117" i="4020"/>
  <c r="G117" i="4020"/>
  <c r="F117" i="4020"/>
  <c r="E117" i="4020"/>
  <c r="AR116" i="4020"/>
  <c r="AQ116" i="4020"/>
  <c r="AP116" i="4020"/>
  <c r="AO116" i="4020"/>
  <c r="AN116" i="4020"/>
  <c r="AM116" i="4020"/>
  <c r="AL116" i="4020"/>
  <c r="AK116" i="4020"/>
  <c r="AJ116" i="4020"/>
  <c r="AI116" i="4020"/>
  <c r="AH116" i="4020"/>
  <c r="AG116" i="4020"/>
  <c r="AF116" i="4020"/>
  <c r="AE116" i="4020"/>
  <c r="AD116" i="4020"/>
  <c r="AC116" i="4020"/>
  <c r="AB116" i="4020"/>
  <c r="AA116" i="4020"/>
  <c r="Z116" i="4020"/>
  <c r="Y116" i="4020"/>
  <c r="X116" i="4020"/>
  <c r="W116" i="4020"/>
  <c r="V116" i="4020"/>
  <c r="U116" i="4020"/>
  <c r="T116" i="4020"/>
  <c r="S116" i="4020"/>
  <c r="R116" i="4020"/>
  <c r="Q116" i="4020"/>
  <c r="P116" i="4020"/>
  <c r="O116" i="4020"/>
  <c r="N116" i="4020"/>
  <c r="M116" i="4020"/>
  <c r="L116" i="4020"/>
  <c r="K116" i="4020"/>
  <c r="J116" i="4020"/>
  <c r="I116" i="4020"/>
  <c r="H116" i="4020"/>
  <c r="G116" i="4020"/>
  <c r="F116" i="4020"/>
  <c r="E116" i="4020"/>
  <c r="C116" i="4020"/>
  <c r="C115" i="4020"/>
  <c r="AR109" i="4020"/>
  <c r="AR124" i="4020" s="1"/>
  <c r="AQ109" i="4020"/>
  <c r="AQ124" i="4020" s="1"/>
  <c r="AP109" i="4020"/>
  <c r="AP124" i="4020" s="1"/>
  <c r="AO109" i="4020"/>
  <c r="AO124" i="4020" s="1"/>
  <c r="AN109" i="4020"/>
  <c r="AN124" i="4020" s="1"/>
  <c r="AM109" i="4020"/>
  <c r="AM124" i="4020" s="1"/>
  <c r="AL109" i="4020"/>
  <c r="AL124" i="4020" s="1"/>
  <c r="AK109" i="4020"/>
  <c r="AK124" i="4020" s="1"/>
  <c r="AJ109" i="4020"/>
  <c r="AJ124" i="4020" s="1"/>
  <c r="AI109" i="4020"/>
  <c r="AI124" i="4020" s="1"/>
  <c r="AH109" i="4020"/>
  <c r="AH124" i="4020" s="1"/>
  <c r="AG109" i="4020"/>
  <c r="AG124" i="4020" s="1"/>
  <c r="AF109" i="4020"/>
  <c r="AF124" i="4020" s="1"/>
  <c r="AE109" i="4020"/>
  <c r="AE124" i="4020" s="1"/>
  <c r="AD109" i="4020"/>
  <c r="AD124" i="4020" s="1"/>
  <c r="AC109" i="4020"/>
  <c r="AC124" i="4020" s="1"/>
  <c r="AB109" i="4020"/>
  <c r="AB124" i="4020" s="1"/>
  <c r="AA109" i="4020"/>
  <c r="AA124" i="4020" s="1"/>
  <c r="Z109" i="4020"/>
  <c r="Z124" i="4020" s="1"/>
  <c r="Y109" i="4020"/>
  <c r="Y124" i="4020" s="1"/>
  <c r="X109" i="4020"/>
  <c r="X124" i="4020" s="1"/>
  <c r="W109" i="4020"/>
  <c r="W122" i="4020" s="1"/>
  <c r="V109" i="4020"/>
  <c r="U109" i="4020"/>
  <c r="U124" i="4020" s="1"/>
  <c r="T109" i="4020"/>
  <c r="T122" i="4020" s="1"/>
  <c r="S109" i="4020"/>
  <c r="R109" i="4020"/>
  <c r="Q109" i="4020"/>
  <c r="P109" i="4020"/>
  <c r="O109" i="4020"/>
  <c r="N109" i="4020"/>
  <c r="M109" i="4020"/>
  <c r="L109" i="4020"/>
  <c r="K109" i="4020"/>
  <c r="J109" i="4020"/>
  <c r="I109" i="4020"/>
  <c r="H109" i="4020"/>
  <c r="G109" i="4020"/>
  <c r="F109" i="4020"/>
  <c r="E109" i="4020"/>
  <c r="D108" i="4020"/>
  <c r="AR125" i="4020"/>
  <c r="AQ125" i="4020"/>
  <c r="AP125" i="4020"/>
  <c r="AO125" i="4020"/>
  <c r="AN125" i="4020"/>
  <c r="AM125" i="4020"/>
  <c r="AL125" i="4020"/>
  <c r="AK125" i="4020"/>
  <c r="AJ125" i="4020"/>
  <c r="AI125" i="4020"/>
  <c r="AH125" i="4020"/>
  <c r="AG125" i="4020"/>
  <c r="AF125" i="4020"/>
  <c r="AE125" i="4020"/>
  <c r="AD125" i="4020"/>
  <c r="AC125" i="4020"/>
  <c r="AB125" i="4020"/>
  <c r="AA125" i="4020"/>
  <c r="Z125" i="4020"/>
  <c r="Y125" i="4020"/>
  <c r="X125" i="4020"/>
  <c r="W125" i="4020"/>
  <c r="V125" i="4020"/>
  <c r="U125" i="4020"/>
  <c r="T125" i="4020"/>
  <c r="S125" i="4020"/>
  <c r="R125" i="4020"/>
  <c r="Q125" i="4020"/>
  <c r="P125" i="4020"/>
  <c r="O125" i="4020"/>
  <c r="N125" i="4020"/>
  <c r="M125" i="4020"/>
  <c r="L125" i="4020"/>
  <c r="K125" i="4020"/>
  <c r="J125" i="4020"/>
  <c r="I125" i="4020"/>
  <c r="H125" i="4020"/>
  <c r="G125" i="4020"/>
  <c r="F125" i="4020"/>
  <c r="D107" i="4020"/>
  <c r="E106" i="4020"/>
  <c r="E102" i="4020" s="1"/>
  <c r="D85" i="4020"/>
  <c r="D84" i="4020"/>
  <c r="D70" i="4020"/>
  <c r="D65" i="4020"/>
  <c r="D64" i="4020"/>
  <c r="D63" i="4020"/>
  <c r="D59" i="4020"/>
  <c r="D57" i="4020"/>
  <c r="D55" i="4020"/>
  <c r="D49" i="4020"/>
  <c r="D48" i="4020"/>
  <c r="E47" i="4020"/>
  <c r="D47" i="4020"/>
  <c r="E46" i="4020"/>
  <c r="D46" i="4020"/>
  <c r="E45" i="4020"/>
  <c r="D45" i="4020"/>
  <c r="C152" i="4020"/>
  <c r="D39" i="4020"/>
  <c r="E13" i="4020"/>
  <c r="D13" i="4020"/>
  <c r="E12" i="4020"/>
  <c r="D43" i="4020"/>
  <c r="D5" i="4020"/>
  <c r="C154" i="4019"/>
  <c r="D151" i="4019"/>
  <c r="AR147" i="4019"/>
  <c r="AQ147" i="4019"/>
  <c r="AP147" i="4019"/>
  <c r="AO147" i="4019"/>
  <c r="AN147" i="4019"/>
  <c r="AM147" i="4019"/>
  <c r="AL147" i="4019"/>
  <c r="AK147" i="4019"/>
  <c r="AJ147" i="4019"/>
  <c r="AI147" i="4019"/>
  <c r="AH147" i="4019"/>
  <c r="AG147" i="4019"/>
  <c r="AF147" i="4019"/>
  <c r="AE147" i="4019"/>
  <c r="AD147" i="4019"/>
  <c r="AC147" i="4019"/>
  <c r="AB147" i="4019"/>
  <c r="AA147" i="4019"/>
  <c r="Z147" i="4019"/>
  <c r="Y147" i="4019"/>
  <c r="X147" i="4019"/>
  <c r="W147" i="4019"/>
  <c r="V147" i="4019"/>
  <c r="U147" i="4019"/>
  <c r="T147" i="4019"/>
  <c r="AR145" i="4019"/>
  <c r="AQ145" i="4019"/>
  <c r="AP145" i="4019"/>
  <c r="AO145" i="4019"/>
  <c r="AN145" i="4019"/>
  <c r="AM145" i="4019"/>
  <c r="AL145" i="4019"/>
  <c r="AK145" i="4019"/>
  <c r="AJ145" i="4019"/>
  <c r="AI145" i="4019"/>
  <c r="AH145" i="4019"/>
  <c r="AG145" i="4019"/>
  <c r="AF145" i="4019"/>
  <c r="AE145" i="4019"/>
  <c r="AD145" i="4019"/>
  <c r="AC145" i="4019"/>
  <c r="AB145" i="4019"/>
  <c r="AA145" i="4019"/>
  <c r="Z145" i="4019"/>
  <c r="Y145" i="4019"/>
  <c r="X145" i="4019"/>
  <c r="W145" i="4019"/>
  <c r="V145" i="4019"/>
  <c r="U145" i="4019"/>
  <c r="T145" i="4019"/>
  <c r="C145" i="4019"/>
  <c r="AR136" i="4019"/>
  <c r="AQ136" i="4019"/>
  <c r="AP136" i="4019"/>
  <c r="AO136" i="4019"/>
  <c r="AN136" i="4019"/>
  <c r="AM136" i="4019"/>
  <c r="AL136" i="4019"/>
  <c r="AK136" i="4019"/>
  <c r="AJ136" i="4019"/>
  <c r="AI136" i="4019"/>
  <c r="AH136" i="4019"/>
  <c r="AG136" i="4019"/>
  <c r="AF136" i="4019"/>
  <c r="AE136" i="4019"/>
  <c r="AD136" i="4019"/>
  <c r="AC136" i="4019"/>
  <c r="AB136" i="4019"/>
  <c r="AA136" i="4019"/>
  <c r="Z136" i="4019"/>
  <c r="Y136" i="4019"/>
  <c r="X136" i="4019"/>
  <c r="W136" i="4019"/>
  <c r="V136" i="4019"/>
  <c r="U136" i="4019"/>
  <c r="T136" i="4019"/>
  <c r="AR135" i="4019"/>
  <c r="AQ135" i="4019"/>
  <c r="AP135" i="4019"/>
  <c r="AO135" i="4019"/>
  <c r="AN135" i="4019"/>
  <c r="AM135" i="4019"/>
  <c r="AL135" i="4019"/>
  <c r="AK135" i="4019"/>
  <c r="AJ135" i="4019"/>
  <c r="AI135" i="4019"/>
  <c r="AH135" i="4019"/>
  <c r="AG135" i="4019"/>
  <c r="AF135" i="4019"/>
  <c r="AE135" i="4019"/>
  <c r="AD135" i="4019"/>
  <c r="AC135" i="4019"/>
  <c r="AB135" i="4019"/>
  <c r="AA135" i="4019"/>
  <c r="Z135" i="4019"/>
  <c r="Y135" i="4019"/>
  <c r="X135" i="4019"/>
  <c r="W135" i="4019"/>
  <c r="V135" i="4019"/>
  <c r="U135" i="4019"/>
  <c r="T135" i="4019"/>
  <c r="AR134" i="4019"/>
  <c r="AQ134" i="4019"/>
  <c r="AP134" i="4019"/>
  <c r="AO134" i="4019"/>
  <c r="AN134" i="4019"/>
  <c r="AM134" i="4019"/>
  <c r="AL134" i="4019"/>
  <c r="AK134" i="4019"/>
  <c r="AJ134" i="4019"/>
  <c r="AI134" i="4019"/>
  <c r="AH134" i="4019"/>
  <c r="AG134" i="4019"/>
  <c r="AF134" i="4019"/>
  <c r="AE134" i="4019"/>
  <c r="AD134" i="4019"/>
  <c r="AC134" i="4019"/>
  <c r="AB134" i="4019"/>
  <c r="AA134" i="4019"/>
  <c r="Z134" i="4019"/>
  <c r="Y134" i="4019"/>
  <c r="X134" i="4019"/>
  <c r="W134" i="4019"/>
  <c r="V134" i="4019"/>
  <c r="U134" i="4019"/>
  <c r="T134" i="4019"/>
  <c r="E125" i="4019"/>
  <c r="C125" i="4019"/>
  <c r="E124" i="4019"/>
  <c r="C124" i="4019"/>
  <c r="AR123" i="4019"/>
  <c r="AQ123" i="4019"/>
  <c r="AP123" i="4019"/>
  <c r="AO123" i="4019"/>
  <c r="AN123" i="4019"/>
  <c r="AM123" i="4019"/>
  <c r="AL123" i="4019"/>
  <c r="AK123" i="4019"/>
  <c r="AJ123" i="4019"/>
  <c r="AI123" i="4019"/>
  <c r="AH123" i="4019"/>
  <c r="AG123" i="4019"/>
  <c r="AF123" i="4019"/>
  <c r="AE123" i="4019"/>
  <c r="AD123" i="4019"/>
  <c r="AC123" i="4019"/>
  <c r="AB123" i="4019"/>
  <c r="AA123" i="4019"/>
  <c r="Z123" i="4019"/>
  <c r="Y123" i="4019"/>
  <c r="X123" i="4019"/>
  <c r="W123" i="4019"/>
  <c r="V123" i="4019"/>
  <c r="U123" i="4019"/>
  <c r="T123" i="4019"/>
  <c r="S123" i="4019"/>
  <c r="R123" i="4019"/>
  <c r="Q123" i="4019"/>
  <c r="P123" i="4019"/>
  <c r="O123" i="4019"/>
  <c r="N123" i="4019"/>
  <c r="M123" i="4019"/>
  <c r="L123" i="4019"/>
  <c r="K123" i="4019"/>
  <c r="J123" i="4019"/>
  <c r="I123" i="4019"/>
  <c r="H123" i="4019"/>
  <c r="G123" i="4019"/>
  <c r="F123" i="4019"/>
  <c r="E123" i="4019"/>
  <c r="AR122" i="4019"/>
  <c r="AQ122" i="4019"/>
  <c r="AP122" i="4019"/>
  <c r="AO122" i="4019"/>
  <c r="AN122" i="4019"/>
  <c r="AM122" i="4019"/>
  <c r="AL122" i="4019"/>
  <c r="AK122" i="4019"/>
  <c r="AJ122" i="4019"/>
  <c r="AI122" i="4019"/>
  <c r="AH122" i="4019"/>
  <c r="AG122" i="4019"/>
  <c r="AF122" i="4019"/>
  <c r="AE122" i="4019"/>
  <c r="AD122" i="4019"/>
  <c r="AC122" i="4019"/>
  <c r="AB122" i="4019"/>
  <c r="AA122" i="4019"/>
  <c r="Z122" i="4019"/>
  <c r="Y122" i="4019"/>
  <c r="S122" i="4019"/>
  <c r="R122" i="4019"/>
  <c r="Q122" i="4019"/>
  <c r="P122" i="4019"/>
  <c r="O122" i="4019"/>
  <c r="N122" i="4019"/>
  <c r="M122" i="4019"/>
  <c r="L122" i="4019"/>
  <c r="K122" i="4019"/>
  <c r="J122" i="4019"/>
  <c r="I122" i="4019"/>
  <c r="H122" i="4019"/>
  <c r="G122" i="4019"/>
  <c r="F122" i="4019"/>
  <c r="E122" i="4019"/>
  <c r="AR121" i="4019"/>
  <c r="AQ121" i="4019"/>
  <c r="AP121" i="4019"/>
  <c r="AO121" i="4019"/>
  <c r="AN121" i="4019"/>
  <c r="AM121" i="4019"/>
  <c r="AL121" i="4019"/>
  <c r="AK121" i="4019"/>
  <c r="AJ121" i="4019"/>
  <c r="AI121" i="4019"/>
  <c r="AH121" i="4019"/>
  <c r="AG121" i="4019"/>
  <c r="AF121" i="4019"/>
  <c r="AE121" i="4019"/>
  <c r="AD121" i="4019"/>
  <c r="AC121" i="4019"/>
  <c r="AB121" i="4019"/>
  <c r="AA121" i="4019"/>
  <c r="Z121" i="4019"/>
  <c r="Y121" i="4019"/>
  <c r="X121" i="4019"/>
  <c r="W121" i="4019"/>
  <c r="V121" i="4019"/>
  <c r="U121" i="4019"/>
  <c r="T121" i="4019"/>
  <c r="S121" i="4019"/>
  <c r="R121" i="4019"/>
  <c r="Q121" i="4019"/>
  <c r="P121" i="4019"/>
  <c r="O121" i="4019"/>
  <c r="N121" i="4019"/>
  <c r="M121" i="4019"/>
  <c r="L121" i="4019"/>
  <c r="K121" i="4019"/>
  <c r="J121" i="4019"/>
  <c r="I121" i="4019"/>
  <c r="H121" i="4019"/>
  <c r="G121" i="4019"/>
  <c r="F121" i="4019"/>
  <c r="E121" i="4019"/>
  <c r="C118" i="4019"/>
  <c r="AR117" i="4019"/>
  <c r="AQ117" i="4019"/>
  <c r="AP117" i="4019"/>
  <c r="AO117" i="4019"/>
  <c r="AN117" i="4019"/>
  <c r="AM117" i="4019"/>
  <c r="AL117" i="4019"/>
  <c r="AK117" i="4019"/>
  <c r="AJ117" i="4019"/>
  <c r="AI117" i="4019"/>
  <c r="AH117" i="4019"/>
  <c r="AG117" i="4019"/>
  <c r="AF117" i="4019"/>
  <c r="AE117" i="4019"/>
  <c r="AD117" i="4019"/>
  <c r="AC117" i="4019"/>
  <c r="AB117" i="4019"/>
  <c r="AA117" i="4019"/>
  <c r="Z117" i="4019"/>
  <c r="Y117" i="4019"/>
  <c r="X117" i="4019"/>
  <c r="W117" i="4019"/>
  <c r="V117" i="4019"/>
  <c r="U117" i="4019"/>
  <c r="T117" i="4019"/>
  <c r="S117" i="4019"/>
  <c r="R117" i="4019"/>
  <c r="Q117" i="4019"/>
  <c r="P117" i="4019"/>
  <c r="O117" i="4019"/>
  <c r="N117" i="4019"/>
  <c r="M117" i="4019"/>
  <c r="L117" i="4019"/>
  <c r="K117" i="4019"/>
  <c r="J117" i="4019"/>
  <c r="I117" i="4019"/>
  <c r="H117" i="4019"/>
  <c r="G117" i="4019"/>
  <c r="F117" i="4019"/>
  <c r="E117" i="4019"/>
  <c r="AR116" i="4019"/>
  <c r="AQ116" i="4019"/>
  <c r="AP116" i="4019"/>
  <c r="AO116" i="4019"/>
  <c r="AN116" i="4019"/>
  <c r="AM116" i="4019"/>
  <c r="AL116" i="4019"/>
  <c r="AK116" i="4019"/>
  <c r="AJ116" i="4019"/>
  <c r="AI116" i="4019"/>
  <c r="AH116" i="4019"/>
  <c r="AG116" i="4019"/>
  <c r="AF116" i="4019"/>
  <c r="AE116" i="4019"/>
  <c r="AD116" i="4019"/>
  <c r="AC116" i="4019"/>
  <c r="AB116" i="4019"/>
  <c r="AA116" i="4019"/>
  <c r="Z116" i="4019"/>
  <c r="Y116" i="4019"/>
  <c r="X116" i="4019"/>
  <c r="W116" i="4019"/>
  <c r="V116" i="4019"/>
  <c r="U116" i="4019"/>
  <c r="T116" i="4019"/>
  <c r="S116" i="4019"/>
  <c r="R116" i="4019"/>
  <c r="Q116" i="4019"/>
  <c r="P116" i="4019"/>
  <c r="O116" i="4019"/>
  <c r="N116" i="4019"/>
  <c r="M116" i="4019"/>
  <c r="L116" i="4019"/>
  <c r="K116" i="4019"/>
  <c r="J116" i="4019"/>
  <c r="I116" i="4019"/>
  <c r="H116" i="4019"/>
  <c r="G116" i="4019"/>
  <c r="F116" i="4019"/>
  <c r="E116" i="4019"/>
  <c r="C116" i="4019"/>
  <c r="C115" i="4019"/>
  <c r="AR109" i="4019"/>
  <c r="AR124" i="4019" s="1"/>
  <c r="AQ109" i="4019"/>
  <c r="AQ124" i="4019" s="1"/>
  <c r="AP109" i="4019"/>
  <c r="AP124" i="4019" s="1"/>
  <c r="AO109" i="4019"/>
  <c r="AO124" i="4019" s="1"/>
  <c r="AN109" i="4019"/>
  <c r="AN124" i="4019" s="1"/>
  <c r="AM109" i="4019"/>
  <c r="AM124" i="4019" s="1"/>
  <c r="AL109" i="4019"/>
  <c r="AL124" i="4019" s="1"/>
  <c r="AK109" i="4019"/>
  <c r="AK124" i="4019" s="1"/>
  <c r="AJ109" i="4019"/>
  <c r="AJ124" i="4019" s="1"/>
  <c r="AI109" i="4019"/>
  <c r="AI124" i="4019" s="1"/>
  <c r="AH109" i="4019"/>
  <c r="AH124" i="4019" s="1"/>
  <c r="AG109" i="4019"/>
  <c r="AG124" i="4019" s="1"/>
  <c r="AF109" i="4019"/>
  <c r="AF124" i="4019" s="1"/>
  <c r="AE109" i="4019"/>
  <c r="AE124" i="4019" s="1"/>
  <c r="AD109" i="4019"/>
  <c r="AD124" i="4019" s="1"/>
  <c r="AC109" i="4019"/>
  <c r="AC124" i="4019" s="1"/>
  <c r="AB109" i="4019"/>
  <c r="AB124" i="4019" s="1"/>
  <c r="AA109" i="4019"/>
  <c r="AA124" i="4019" s="1"/>
  <c r="Z109" i="4019"/>
  <c r="Z124" i="4019" s="1"/>
  <c r="Y109" i="4019"/>
  <c r="Y124" i="4019" s="1"/>
  <c r="X109" i="4019"/>
  <c r="X122" i="4019" s="1"/>
  <c r="W109" i="4019"/>
  <c r="W122" i="4019" s="1"/>
  <c r="V109" i="4019"/>
  <c r="U109" i="4019"/>
  <c r="U122" i="4019" s="1"/>
  <c r="T109" i="4019"/>
  <c r="T122" i="4019" s="1"/>
  <c r="S109" i="4019"/>
  <c r="R109" i="4019"/>
  <c r="Q109" i="4019"/>
  <c r="P109" i="4019"/>
  <c r="O109" i="4019"/>
  <c r="N109" i="4019"/>
  <c r="M109" i="4019"/>
  <c r="L109" i="4019"/>
  <c r="K109" i="4019"/>
  <c r="J109" i="4019"/>
  <c r="I109" i="4019"/>
  <c r="H109" i="4019"/>
  <c r="G109" i="4019"/>
  <c r="F109" i="4019"/>
  <c r="E109" i="4019"/>
  <c r="D108" i="4019"/>
  <c r="AR125" i="4019"/>
  <c r="AQ125" i="4019"/>
  <c r="AP125" i="4019"/>
  <c r="AO125" i="4019"/>
  <c r="AN125" i="4019"/>
  <c r="AM125" i="4019"/>
  <c r="AL125" i="4019"/>
  <c r="AK125" i="4019"/>
  <c r="AJ125" i="4019"/>
  <c r="AI125" i="4019"/>
  <c r="AH125" i="4019"/>
  <c r="AG125" i="4019"/>
  <c r="AF125" i="4019"/>
  <c r="AE125" i="4019"/>
  <c r="AD125" i="4019"/>
  <c r="AC125" i="4019"/>
  <c r="AB125" i="4019"/>
  <c r="AA125" i="4019"/>
  <c r="Z125" i="4019"/>
  <c r="Y125" i="4019"/>
  <c r="X125" i="4019"/>
  <c r="W125" i="4019"/>
  <c r="V125" i="4019"/>
  <c r="U125" i="4019"/>
  <c r="T125" i="4019"/>
  <c r="S125" i="4019"/>
  <c r="R125" i="4019"/>
  <c r="Q125" i="4019"/>
  <c r="P125" i="4019"/>
  <c r="O125" i="4019"/>
  <c r="N125" i="4019"/>
  <c r="M125" i="4019"/>
  <c r="L125" i="4019"/>
  <c r="K125" i="4019"/>
  <c r="J125" i="4019"/>
  <c r="I125" i="4019"/>
  <c r="H125" i="4019"/>
  <c r="G125" i="4019"/>
  <c r="F125" i="4019"/>
  <c r="D107" i="4019"/>
  <c r="E106" i="4019"/>
  <c r="E102" i="4019" s="1"/>
  <c r="D85" i="4019"/>
  <c r="D84" i="4019"/>
  <c r="D70" i="4019"/>
  <c r="D65" i="4019"/>
  <c r="D64" i="4019"/>
  <c r="D63" i="4019"/>
  <c r="D59" i="4019"/>
  <c r="D57" i="4019"/>
  <c r="D55" i="4019"/>
  <c r="D49" i="4019"/>
  <c r="D48" i="4019"/>
  <c r="E47" i="4019"/>
  <c r="D47" i="4019"/>
  <c r="E46" i="4019"/>
  <c r="D46" i="4019"/>
  <c r="E45" i="4019"/>
  <c r="D45" i="4019"/>
  <c r="C152" i="4019"/>
  <c r="E13" i="4019"/>
  <c r="D13" i="4019"/>
  <c r="E12" i="4019"/>
  <c r="D43" i="4019"/>
  <c r="D5" i="4019"/>
  <c r="C154" i="4018"/>
  <c r="D151" i="4018"/>
  <c r="AR147" i="4018"/>
  <c r="AQ147" i="4018"/>
  <c r="AP147" i="4018"/>
  <c r="AO147" i="4018"/>
  <c r="AN147" i="4018"/>
  <c r="AM147" i="4018"/>
  <c r="AL147" i="4018"/>
  <c r="AK147" i="4018"/>
  <c r="AJ147" i="4018"/>
  <c r="AI147" i="4018"/>
  <c r="AH147" i="4018"/>
  <c r="AG147" i="4018"/>
  <c r="AF147" i="4018"/>
  <c r="AE147" i="4018"/>
  <c r="AD147" i="4018"/>
  <c r="AC147" i="4018"/>
  <c r="AB147" i="4018"/>
  <c r="AA147" i="4018"/>
  <c r="Z147" i="4018"/>
  <c r="Y147" i="4018"/>
  <c r="X147" i="4018"/>
  <c r="W147" i="4018"/>
  <c r="V147" i="4018"/>
  <c r="U147" i="4018"/>
  <c r="T147" i="4018"/>
  <c r="AR145" i="4018"/>
  <c r="AQ145" i="4018"/>
  <c r="AP145" i="4018"/>
  <c r="AO145" i="4018"/>
  <c r="AN145" i="4018"/>
  <c r="AM145" i="4018"/>
  <c r="AL145" i="4018"/>
  <c r="AK145" i="4018"/>
  <c r="AJ145" i="4018"/>
  <c r="AI145" i="4018"/>
  <c r="AH145" i="4018"/>
  <c r="AG145" i="4018"/>
  <c r="AF145" i="4018"/>
  <c r="AE145" i="4018"/>
  <c r="AD145" i="4018"/>
  <c r="AC145" i="4018"/>
  <c r="AB145" i="4018"/>
  <c r="AA145" i="4018"/>
  <c r="Z145" i="4018"/>
  <c r="Y145" i="4018"/>
  <c r="X145" i="4018"/>
  <c r="W145" i="4018"/>
  <c r="V145" i="4018"/>
  <c r="U145" i="4018"/>
  <c r="T145" i="4018"/>
  <c r="C145" i="4018"/>
  <c r="AR136" i="4018"/>
  <c r="AQ136" i="4018"/>
  <c r="AP136" i="4018"/>
  <c r="AO136" i="4018"/>
  <c r="AN136" i="4018"/>
  <c r="AM136" i="4018"/>
  <c r="AL136" i="4018"/>
  <c r="AK136" i="4018"/>
  <c r="AJ136" i="4018"/>
  <c r="AI136" i="4018"/>
  <c r="AH136" i="4018"/>
  <c r="AG136" i="4018"/>
  <c r="AF136" i="4018"/>
  <c r="AE136" i="4018"/>
  <c r="AD136" i="4018"/>
  <c r="AC136" i="4018"/>
  <c r="AB136" i="4018"/>
  <c r="AA136" i="4018"/>
  <c r="Z136" i="4018"/>
  <c r="Y136" i="4018"/>
  <c r="X136" i="4018"/>
  <c r="W136" i="4018"/>
  <c r="V136" i="4018"/>
  <c r="U136" i="4018"/>
  <c r="T136" i="4018"/>
  <c r="AR135" i="4018"/>
  <c r="AQ135" i="4018"/>
  <c r="AP135" i="4018"/>
  <c r="AO135" i="4018"/>
  <c r="AN135" i="4018"/>
  <c r="AM135" i="4018"/>
  <c r="AL135" i="4018"/>
  <c r="AK135" i="4018"/>
  <c r="AJ135" i="4018"/>
  <c r="AI135" i="4018"/>
  <c r="AH135" i="4018"/>
  <c r="AG135" i="4018"/>
  <c r="AF135" i="4018"/>
  <c r="AE135" i="4018"/>
  <c r="AD135" i="4018"/>
  <c r="AC135" i="4018"/>
  <c r="AB135" i="4018"/>
  <c r="AA135" i="4018"/>
  <c r="Z135" i="4018"/>
  <c r="Y135" i="4018"/>
  <c r="X135" i="4018"/>
  <c r="W135" i="4018"/>
  <c r="V135" i="4018"/>
  <c r="U135" i="4018"/>
  <c r="T135" i="4018"/>
  <c r="AR134" i="4018"/>
  <c r="AQ134" i="4018"/>
  <c r="AP134" i="4018"/>
  <c r="AO134" i="4018"/>
  <c r="AN134" i="4018"/>
  <c r="AM134" i="4018"/>
  <c r="AL134" i="4018"/>
  <c r="AK134" i="4018"/>
  <c r="AJ134" i="4018"/>
  <c r="AI134" i="4018"/>
  <c r="AH134" i="4018"/>
  <c r="AG134" i="4018"/>
  <c r="AF134" i="4018"/>
  <c r="AE134" i="4018"/>
  <c r="AD134" i="4018"/>
  <c r="AC134" i="4018"/>
  <c r="AB134" i="4018"/>
  <c r="AA134" i="4018"/>
  <c r="Z134" i="4018"/>
  <c r="Y134" i="4018"/>
  <c r="X134" i="4018"/>
  <c r="W134" i="4018"/>
  <c r="V134" i="4018"/>
  <c r="U134" i="4018"/>
  <c r="T134" i="4018"/>
  <c r="E125" i="4018"/>
  <c r="C125" i="4018"/>
  <c r="E124" i="4018"/>
  <c r="C124" i="4018"/>
  <c r="AR123" i="4018"/>
  <c r="AP123" i="4018"/>
  <c r="AM123" i="4018"/>
  <c r="AJ123" i="4018"/>
  <c r="AI123" i="4018"/>
  <c r="AH123" i="4018"/>
  <c r="AG123" i="4018"/>
  <c r="AF123" i="4018"/>
  <c r="AD123" i="4018"/>
  <c r="AA123" i="4018"/>
  <c r="X123" i="4018"/>
  <c r="W123" i="4018"/>
  <c r="V123" i="4018"/>
  <c r="U123" i="4018"/>
  <c r="T123" i="4018"/>
  <c r="R123" i="4018"/>
  <c r="O123" i="4018"/>
  <c r="L123" i="4018"/>
  <c r="K123" i="4018"/>
  <c r="J123" i="4018"/>
  <c r="I123" i="4018"/>
  <c r="H123" i="4018"/>
  <c r="F123" i="4018"/>
  <c r="AQ122" i="4018"/>
  <c r="AN122" i="4018"/>
  <c r="AM122" i="4018"/>
  <c r="AL122" i="4018"/>
  <c r="AK122" i="4018"/>
  <c r="AJ122" i="4018"/>
  <c r="AH122" i="4018"/>
  <c r="AE122" i="4018"/>
  <c r="AB122" i="4018"/>
  <c r="AA122" i="4018"/>
  <c r="Z122" i="4018"/>
  <c r="Y122" i="4018"/>
  <c r="S122" i="4018"/>
  <c r="Q122" i="4018"/>
  <c r="N122" i="4018"/>
  <c r="K122" i="4018"/>
  <c r="J122" i="4018"/>
  <c r="I122" i="4018"/>
  <c r="H122" i="4018"/>
  <c r="G122" i="4018"/>
  <c r="E122" i="4018"/>
  <c r="AP121" i="4018"/>
  <c r="AM121" i="4018"/>
  <c r="AL121" i="4018"/>
  <c r="AK121" i="4018"/>
  <c r="AJ121" i="4018"/>
  <c r="AI121" i="4018"/>
  <c r="AG121" i="4018"/>
  <c r="AD121" i="4018"/>
  <c r="AA121" i="4018"/>
  <c r="Z121" i="4018"/>
  <c r="Y121" i="4018"/>
  <c r="X121" i="4018"/>
  <c r="W121" i="4018"/>
  <c r="U121" i="4018"/>
  <c r="R121" i="4018"/>
  <c r="O121" i="4018"/>
  <c r="N121" i="4018"/>
  <c r="M121" i="4018"/>
  <c r="L121" i="4018"/>
  <c r="K121" i="4018"/>
  <c r="I121" i="4018"/>
  <c r="F121" i="4018"/>
  <c r="C118" i="4018"/>
  <c r="AQ117" i="4018"/>
  <c r="AN117" i="4018"/>
  <c r="AM117" i="4018"/>
  <c r="AL117" i="4018"/>
  <c r="AK117" i="4018"/>
  <c r="AJ117" i="4018"/>
  <c r="AH117" i="4018"/>
  <c r="AE117" i="4018"/>
  <c r="AB117" i="4018"/>
  <c r="AA117" i="4018"/>
  <c r="Z117" i="4018"/>
  <c r="Y117" i="4018"/>
  <c r="X117" i="4018"/>
  <c r="V117" i="4018"/>
  <c r="S117" i="4018"/>
  <c r="P117" i="4018"/>
  <c r="O117" i="4018"/>
  <c r="N117" i="4018"/>
  <c r="M117" i="4018"/>
  <c r="L117" i="4018"/>
  <c r="J117" i="4018"/>
  <c r="G117" i="4018"/>
  <c r="AR116" i="4018"/>
  <c r="AQ116" i="4018"/>
  <c r="AP116" i="4018"/>
  <c r="AO116" i="4018"/>
  <c r="AN116" i="4018"/>
  <c r="AL116" i="4018"/>
  <c r="AK116" i="4018"/>
  <c r="AI116" i="4018"/>
  <c r="AF116" i="4018"/>
  <c r="AE116" i="4018"/>
  <c r="AD116" i="4018"/>
  <c r="AC116" i="4018"/>
  <c r="AB116" i="4018"/>
  <c r="Z116" i="4018"/>
  <c r="Y116" i="4018"/>
  <c r="W116" i="4018"/>
  <c r="T116" i="4018"/>
  <c r="S116" i="4018"/>
  <c r="R116" i="4018"/>
  <c r="Q116" i="4018"/>
  <c r="P116" i="4018"/>
  <c r="O116" i="4018"/>
  <c r="N116" i="4018"/>
  <c r="M116" i="4018"/>
  <c r="L116" i="4018"/>
  <c r="K116" i="4018"/>
  <c r="J116" i="4018"/>
  <c r="I116" i="4018"/>
  <c r="H116" i="4018"/>
  <c r="G116" i="4018"/>
  <c r="F116" i="4018"/>
  <c r="E116" i="4018"/>
  <c r="C116" i="4018"/>
  <c r="C115" i="4018"/>
  <c r="AR109" i="4018"/>
  <c r="AQ109" i="4018"/>
  <c r="AP109" i="4018"/>
  <c r="AO109" i="4018"/>
  <c r="AN109" i="4018"/>
  <c r="AM109" i="4018"/>
  <c r="AL109" i="4018"/>
  <c r="AK109" i="4018"/>
  <c r="AJ109" i="4018"/>
  <c r="AI109" i="4018"/>
  <c r="AH109" i="4018"/>
  <c r="AG109" i="4018"/>
  <c r="AF109" i="4018"/>
  <c r="AE109" i="4018"/>
  <c r="AD109" i="4018"/>
  <c r="AC109" i="4018"/>
  <c r="AB109" i="4018"/>
  <c r="AA109" i="4018"/>
  <c r="Z109" i="4018"/>
  <c r="Y109" i="4018"/>
  <c r="X109" i="4018"/>
  <c r="X122" i="4018" s="1"/>
  <c r="W109" i="4018"/>
  <c r="W122" i="4018" s="1"/>
  <c r="V109" i="4018"/>
  <c r="U109" i="4018"/>
  <c r="T109" i="4018"/>
  <c r="T122" i="4018" s="1"/>
  <c r="S109" i="4018"/>
  <c r="R109" i="4018"/>
  <c r="Q109" i="4018"/>
  <c r="P109" i="4018"/>
  <c r="O109" i="4018"/>
  <c r="N109" i="4018"/>
  <c r="M109" i="4018"/>
  <c r="L109" i="4018"/>
  <c r="K109" i="4018"/>
  <c r="J109" i="4018"/>
  <c r="I109" i="4018"/>
  <c r="H109" i="4018"/>
  <c r="G109" i="4018"/>
  <c r="F109" i="4018"/>
  <c r="E109" i="4018"/>
  <c r="D108" i="4018"/>
  <c r="S125" i="4018"/>
  <c r="R125" i="4018"/>
  <c r="Q125" i="4018"/>
  <c r="P125" i="4018"/>
  <c r="O125" i="4018"/>
  <c r="N125" i="4018"/>
  <c r="M125" i="4018"/>
  <c r="L125" i="4018"/>
  <c r="K125" i="4018"/>
  <c r="J125" i="4018"/>
  <c r="I125" i="4018"/>
  <c r="H125" i="4018"/>
  <c r="G125" i="4018"/>
  <c r="F125" i="4018"/>
  <c r="D107" i="4018"/>
  <c r="E106" i="4018"/>
  <c r="E102" i="4018" s="1"/>
  <c r="D85" i="4018"/>
  <c r="D84" i="4018"/>
  <c r="D70" i="4018"/>
  <c r="D65" i="4018"/>
  <c r="D64" i="4018"/>
  <c r="D63" i="4018"/>
  <c r="D59" i="4018"/>
  <c r="D57" i="4018"/>
  <c r="D55" i="4018"/>
  <c r="D49" i="4018"/>
  <c r="D48" i="4018"/>
  <c r="E47" i="4018"/>
  <c r="D47" i="4018"/>
  <c r="E46" i="4018"/>
  <c r="D46" i="4018"/>
  <c r="E45" i="4018"/>
  <c r="D45" i="4018"/>
  <c r="E13" i="4018"/>
  <c r="D13" i="4018"/>
  <c r="D43" i="4018"/>
  <c r="D5" i="4018"/>
  <c r="U24" i="65"/>
  <c r="U11" i="65"/>
  <c r="U28" i="65"/>
  <c r="U17" i="65"/>
  <c r="W28" i="65"/>
  <c r="W17" i="65"/>
  <c r="U21" i="65"/>
  <c r="W26" i="65"/>
  <c r="U23" i="65"/>
  <c r="W25" i="65"/>
  <c r="U20" i="65"/>
  <c r="U18" i="65"/>
  <c r="V27" i="65"/>
  <c r="W19" i="65"/>
  <c r="V21" i="65"/>
  <c r="V20" i="65"/>
  <c r="W21" i="65"/>
  <c r="U19" i="65"/>
  <c r="W24" i="65"/>
  <c r="U30" i="65"/>
  <c r="V9" i="65"/>
  <c r="W20" i="65"/>
  <c r="V19" i="65"/>
  <c r="U27" i="65"/>
  <c r="W18" i="65"/>
  <c r="U13" i="65"/>
  <c r="U8" i="65"/>
  <c r="V13" i="65"/>
  <c r="V30" i="65"/>
  <c r="V22" i="65"/>
  <c r="V25" i="65"/>
  <c r="U22" i="65"/>
  <c r="V10" i="65"/>
  <c r="W22" i="65"/>
  <c r="V18" i="65"/>
  <c r="U26" i="65"/>
  <c r="V8" i="65"/>
  <c r="W23" i="65"/>
  <c r="V11" i="65"/>
  <c r="U10" i="65"/>
  <c r="V17" i="65"/>
  <c r="V24" i="65"/>
  <c r="V16" i="65"/>
  <c r="V26" i="65"/>
  <c r="W27" i="65"/>
  <c r="V23" i="65"/>
  <c r="V28" i="65"/>
  <c r="L7" i="149" l="1"/>
  <c r="L5" i="149"/>
  <c r="C86" i="4037"/>
  <c r="C70" i="4037" s="1"/>
  <c r="U137" i="4036"/>
  <c r="AE137" i="4030"/>
  <c r="M108" i="4018"/>
  <c r="G108" i="4019"/>
  <c r="G124" i="4019" s="1"/>
  <c r="M108" i="4019"/>
  <c r="M124" i="4019" s="1"/>
  <c r="J108" i="4020"/>
  <c r="P108" i="4020"/>
  <c r="F108" i="4021"/>
  <c r="F124" i="4021" s="1"/>
  <c r="O108" i="4021"/>
  <c r="O124" i="4021" s="1"/>
  <c r="X108" i="4021"/>
  <c r="X124" i="4021" s="1"/>
  <c r="G108" i="4022"/>
  <c r="G124" i="4022" s="1"/>
  <c r="P108" i="4022"/>
  <c r="P124" i="4022" s="1"/>
  <c r="I108" i="4023"/>
  <c r="R108" i="4023"/>
  <c r="X108" i="4023"/>
  <c r="N108" i="4018"/>
  <c r="N124" i="4018" s="1"/>
  <c r="K108" i="4019"/>
  <c r="K124" i="4019" s="1"/>
  <c r="Q108" i="4019"/>
  <c r="Q124" i="4019" s="1"/>
  <c r="H108" i="4020"/>
  <c r="H124" i="4020" s="1"/>
  <c r="K108" i="4020"/>
  <c r="K124" i="4020" s="1"/>
  <c r="N108" i="4020"/>
  <c r="N124" i="4020" s="1"/>
  <c r="Q108" i="4020"/>
  <c r="Q124" i="4020" s="1"/>
  <c r="G108" i="4021"/>
  <c r="G124" i="4021" s="1"/>
  <c r="J108" i="4021"/>
  <c r="M108" i="4021"/>
  <c r="P108" i="4021"/>
  <c r="P124" i="4021" s="1"/>
  <c r="S108" i="4021"/>
  <c r="V108" i="4021"/>
  <c r="H108" i="4022"/>
  <c r="H124" i="4022" s="1"/>
  <c r="K108" i="4022"/>
  <c r="K124" i="4022" s="1"/>
  <c r="N108" i="4022"/>
  <c r="N124" i="4022" s="1"/>
  <c r="Q108" i="4022"/>
  <c r="Q124" i="4022" s="1"/>
  <c r="T108" i="4022"/>
  <c r="T124" i="4022" s="1"/>
  <c r="W108" i="4022"/>
  <c r="W124" i="4022" s="1"/>
  <c r="G108" i="4023"/>
  <c r="G124" i="4023" s="1"/>
  <c r="J108" i="4023"/>
  <c r="J124" i="4023" s="1"/>
  <c r="M108" i="4023"/>
  <c r="M124" i="4023" s="1"/>
  <c r="P108" i="4023"/>
  <c r="P124" i="4023" s="1"/>
  <c r="S108" i="4023"/>
  <c r="S124" i="4023" s="1"/>
  <c r="V122" i="4023"/>
  <c r="V108" i="4023"/>
  <c r="V124" i="4023" s="1"/>
  <c r="J108" i="4018"/>
  <c r="S108" i="4018"/>
  <c r="S124" i="4018" s="1"/>
  <c r="J108" i="4019"/>
  <c r="J124" i="4019" s="1"/>
  <c r="S108" i="4019"/>
  <c r="G108" i="4020"/>
  <c r="M108" i="4020"/>
  <c r="M124" i="4020" s="1"/>
  <c r="I108" i="4021"/>
  <c r="I124" i="4021" s="1"/>
  <c r="R108" i="4021"/>
  <c r="R124" i="4021" s="1"/>
  <c r="J108" i="4022"/>
  <c r="J124" i="4022" s="1"/>
  <c r="S108" i="4022"/>
  <c r="S124" i="4022" s="1"/>
  <c r="F108" i="4023"/>
  <c r="O108" i="4023"/>
  <c r="O124" i="4023" s="1"/>
  <c r="U108" i="4023"/>
  <c r="H108" i="4018"/>
  <c r="H124" i="4018" s="1"/>
  <c r="K108" i="4018"/>
  <c r="K124" i="4018" s="1"/>
  <c r="Q108" i="4018"/>
  <c r="Q124" i="4018" s="1"/>
  <c r="H108" i="4019"/>
  <c r="H124" i="4019" s="1"/>
  <c r="N108" i="4019"/>
  <c r="N124" i="4019" s="1"/>
  <c r="F108" i="4018"/>
  <c r="F124" i="4018" s="1"/>
  <c r="I108" i="4018"/>
  <c r="I124" i="4018" s="1"/>
  <c r="L108" i="4018"/>
  <c r="L124" i="4018" s="1"/>
  <c r="O108" i="4018"/>
  <c r="O124" i="4018" s="1"/>
  <c r="R108" i="4018"/>
  <c r="R124" i="4018" s="1"/>
  <c r="F108" i="4019"/>
  <c r="F124" i="4019" s="1"/>
  <c r="I108" i="4019"/>
  <c r="I124" i="4019" s="1"/>
  <c r="L108" i="4019"/>
  <c r="L124" i="4019" s="1"/>
  <c r="O108" i="4019"/>
  <c r="O124" i="4019" s="1"/>
  <c r="R108" i="4019"/>
  <c r="R124" i="4019" s="1"/>
  <c r="F108" i="4020"/>
  <c r="F124" i="4020" s="1"/>
  <c r="I108" i="4020"/>
  <c r="I124" i="4020" s="1"/>
  <c r="L108" i="4020"/>
  <c r="L124" i="4020" s="1"/>
  <c r="O108" i="4020"/>
  <c r="O124" i="4020" s="1"/>
  <c r="R108" i="4020"/>
  <c r="R124" i="4020" s="1"/>
  <c r="H108" i="4021"/>
  <c r="H124" i="4021" s="1"/>
  <c r="K108" i="4021"/>
  <c r="K124" i="4021" s="1"/>
  <c r="N108" i="4021"/>
  <c r="N124" i="4021" s="1"/>
  <c r="Q108" i="4021"/>
  <c r="Q124" i="4021" s="1"/>
  <c r="T108" i="4021"/>
  <c r="T124" i="4021" s="1"/>
  <c r="W122" i="4021"/>
  <c r="W108" i="4021"/>
  <c r="W124" i="4021" s="1"/>
  <c r="F108" i="4022"/>
  <c r="F124" i="4022" s="1"/>
  <c r="I108" i="4022"/>
  <c r="I124" i="4022" s="1"/>
  <c r="L108" i="4022"/>
  <c r="L124" i="4022" s="1"/>
  <c r="O108" i="4022"/>
  <c r="O124" i="4022" s="1"/>
  <c r="R108" i="4022"/>
  <c r="R124" i="4022" s="1"/>
  <c r="U108" i="4022"/>
  <c r="X108" i="4022"/>
  <c r="H108" i="4023"/>
  <c r="H124" i="4023" s="1"/>
  <c r="K108" i="4023"/>
  <c r="K124" i="4023" s="1"/>
  <c r="N108" i="4023"/>
  <c r="N124" i="4023" s="1"/>
  <c r="Q108" i="4023"/>
  <c r="Q124" i="4023" s="1"/>
  <c r="T108" i="4023"/>
  <c r="T124" i="4023" s="1"/>
  <c r="W108" i="4023"/>
  <c r="W124" i="4023" s="1"/>
  <c r="AE137" i="4028"/>
  <c r="G108" i="4018"/>
  <c r="P108" i="4018"/>
  <c r="P108" i="4019"/>
  <c r="P124" i="4019" s="1"/>
  <c r="S108" i="4020"/>
  <c r="L108" i="4021"/>
  <c r="L124" i="4021" s="1"/>
  <c r="U108" i="4021"/>
  <c r="U124" i="4021" s="1"/>
  <c r="M108" i="4022"/>
  <c r="M124" i="4022" s="1"/>
  <c r="V108" i="4022"/>
  <c r="V124" i="4022" s="1"/>
  <c r="L108" i="4023"/>
  <c r="L124" i="4023" s="1"/>
  <c r="L108" i="4036"/>
  <c r="L124" i="4036" s="1"/>
  <c r="M108" i="4036"/>
  <c r="M124" i="4036" s="1"/>
  <c r="N108" i="4036"/>
  <c r="N124" i="4036" s="1"/>
  <c r="O108" i="4036"/>
  <c r="O124" i="4036" s="1"/>
  <c r="P108" i="4036"/>
  <c r="P124" i="4036" s="1"/>
  <c r="Q108" i="4036"/>
  <c r="Q124" i="4036" s="1"/>
  <c r="F108" i="4036"/>
  <c r="F124" i="4036" s="1"/>
  <c r="R108" i="4036"/>
  <c r="R124" i="4036" s="1"/>
  <c r="G108" i="4036"/>
  <c r="G124" i="4036" s="1"/>
  <c r="S108" i="4036"/>
  <c r="S124" i="4036" s="1"/>
  <c r="H108" i="4036"/>
  <c r="H124" i="4036" s="1"/>
  <c r="I108" i="4036"/>
  <c r="I124" i="4036" s="1"/>
  <c r="J108" i="4036"/>
  <c r="J124" i="4036" s="1"/>
  <c r="K108" i="4036"/>
  <c r="K124" i="4036" s="1"/>
  <c r="F108" i="4035"/>
  <c r="F124" i="4035" s="1"/>
  <c r="R108" i="4035"/>
  <c r="R124" i="4035" s="1"/>
  <c r="G108" i="4035"/>
  <c r="G124" i="4035" s="1"/>
  <c r="S108" i="4035"/>
  <c r="S124" i="4035" s="1"/>
  <c r="H108" i="4035"/>
  <c r="H124" i="4035" s="1"/>
  <c r="T108" i="4035"/>
  <c r="I108" i="4035"/>
  <c r="I124" i="4035" s="1"/>
  <c r="U122" i="4035"/>
  <c r="U108" i="4035"/>
  <c r="U124" i="4035" s="1"/>
  <c r="J108" i="4035"/>
  <c r="J124" i="4035" s="1"/>
  <c r="V122" i="4035"/>
  <c r="V108" i="4035"/>
  <c r="V124" i="4035" s="1"/>
  <c r="K108" i="4035"/>
  <c r="K124" i="4035" s="1"/>
  <c r="W108" i="4035"/>
  <c r="L108" i="4035"/>
  <c r="L124" i="4035" s="1"/>
  <c r="X122" i="4035"/>
  <c r="X108" i="4035"/>
  <c r="M108" i="4035"/>
  <c r="M124" i="4035" s="1"/>
  <c r="N108" i="4035"/>
  <c r="N124" i="4035" s="1"/>
  <c r="O108" i="4035"/>
  <c r="O124" i="4035" s="1"/>
  <c r="P108" i="4035"/>
  <c r="P124" i="4035" s="1"/>
  <c r="Q108" i="4035"/>
  <c r="Q124" i="4035" s="1"/>
  <c r="H108" i="4034"/>
  <c r="H124" i="4034" s="1"/>
  <c r="T108" i="4034"/>
  <c r="T124" i="4034" s="1"/>
  <c r="I108" i="4034"/>
  <c r="I124" i="4034" s="1"/>
  <c r="U108" i="4034"/>
  <c r="J108" i="4034"/>
  <c r="J124" i="4034" s="1"/>
  <c r="V108" i="4034"/>
  <c r="V124" i="4034" s="1"/>
  <c r="K108" i="4034"/>
  <c r="K124" i="4034" s="1"/>
  <c r="W108" i="4034"/>
  <c r="W124" i="4034" s="1"/>
  <c r="L108" i="4034"/>
  <c r="X108" i="4034"/>
  <c r="M108" i="4034"/>
  <c r="M124" i="4034" s="1"/>
  <c r="N108" i="4034"/>
  <c r="N124" i="4034" s="1"/>
  <c r="O108" i="4034"/>
  <c r="P108" i="4034"/>
  <c r="P124" i="4034" s="1"/>
  <c r="Q108" i="4034"/>
  <c r="Q124" i="4034" s="1"/>
  <c r="F108" i="4034"/>
  <c r="R108" i="4034"/>
  <c r="R124" i="4034" s="1"/>
  <c r="G108" i="4034"/>
  <c r="G124" i="4034" s="1"/>
  <c r="S108" i="4034"/>
  <c r="S124" i="4034" s="1"/>
  <c r="S108" i="4033"/>
  <c r="K108" i="4033"/>
  <c r="K124" i="4033" s="1"/>
  <c r="W108" i="4033"/>
  <c r="W124" i="4033" s="1"/>
  <c r="L108" i="4033"/>
  <c r="L124" i="4033" s="1"/>
  <c r="X122" i="4033"/>
  <c r="X108" i="4033"/>
  <c r="X124" i="4033" s="1"/>
  <c r="N108" i="4033"/>
  <c r="N124" i="4033" s="1"/>
  <c r="O108" i="4033"/>
  <c r="O124" i="4033" s="1"/>
  <c r="M108" i="4033"/>
  <c r="P108" i="4033"/>
  <c r="P124" i="4033" s="1"/>
  <c r="Q108" i="4033"/>
  <c r="Q124" i="4033" s="1"/>
  <c r="F108" i="4033"/>
  <c r="F124" i="4033" s="1"/>
  <c r="R108" i="4033"/>
  <c r="R124" i="4033" s="1"/>
  <c r="H108" i="4033"/>
  <c r="H124" i="4033" s="1"/>
  <c r="T108" i="4033"/>
  <c r="T124" i="4033" s="1"/>
  <c r="G108" i="4033"/>
  <c r="G124" i="4033" s="1"/>
  <c r="I108" i="4033"/>
  <c r="I124" i="4033" s="1"/>
  <c r="U122" i="4033"/>
  <c r="U108" i="4033"/>
  <c r="J108" i="4033"/>
  <c r="V108" i="4033"/>
  <c r="Q108" i="4032"/>
  <c r="Q124" i="4032" s="1"/>
  <c r="F108" i="4032"/>
  <c r="F124" i="4032" s="1"/>
  <c r="R108" i="4032"/>
  <c r="R124" i="4032" s="1"/>
  <c r="G108" i="4032"/>
  <c r="G124" i="4032" s="1"/>
  <c r="S108" i="4032"/>
  <c r="S124" i="4032" s="1"/>
  <c r="H108" i="4032"/>
  <c r="T108" i="4032"/>
  <c r="I108" i="4032"/>
  <c r="I124" i="4032" s="1"/>
  <c r="U122" i="4032"/>
  <c r="U108" i="4032"/>
  <c r="U124" i="4032" s="1"/>
  <c r="J108" i="4032"/>
  <c r="J124" i="4032" s="1"/>
  <c r="V108" i="4032"/>
  <c r="O108" i="4032"/>
  <c r="O124" i="4032" s="1"/>
  <c r="K108" i="4032"/>
  <c r="W108" i="4032"/>
  <c r="L108" i="4032"/>
  <c r="L124" i="4032" s="1"/>
  <c r="X122" i="4032"/>
  <c r="X108" i="4032"/>
  <c r="X124" i="4032" s="1"/>
  <c r="P108" i="4032"/>
  <c r="M108" i="4032"/>
  <c r="N108" i="4032"/>
  <c r="G108" i="4031"/>
  <c r="G124" i="4031" s="1"/>
  <c r="S108" i="4031"/>
  <c r="H108" i="4031"/>
  <c r="T108" i="4031"/>
  <c r="T124" i="4031" s="1"/>
  <c r="I108" i="4031"/>
  <c r="I124" i="4031" s="1"/>
  <c r="U122" i="4031"/>
  <c r="U108" i="4031"/>
  <c r="U124" i="4031" s="1"/>
  <c r="J108" i="4031"/>
  <c r="V108" i="4031"/>
  <c r="K108" i="4031"/>
  <c r="K124" i="4031" s="1"/>
  <c r="W108" i="4031"/>
  <c r="W124" i="4031" s="1"/>
  <c r="L108" i="4031"/>
  <c r="L124" i="4031" s="1"/>
  <c r="X122" i="4031"/>
  <c r="X108" i="4031"/>
  <c r="M108" i="4031"/>
  <c r="N108" i="4031"/>
  <c r="N124" i="4031" s="1"/>
  <c r="O108" i="4031"/>
  <c r="O124" i="4031" s="1"/>
  <c r="P108" i="4031"/>
  <c r="Q108" i="4031"/>
  <c r="F108" i="4031"/>
  <c r="F124" i="4031" s="1"/>
  <c r="R108" i="4031"/>
  <c r="R124" i="4031" s="1"/>
  <c r="H108" i="4030"/>
  <c r="H124" i="4030" s="1"/>
  <c r="T108" i="4030"/>
  <c r="T124" i="4030" s="1"/>
  <c r="I108" i="4030"/>
  <c r="I124" i="4030" s="1"/>
  <c r="U122" i="4030"/>
  <c r="U108" i="4030"/>
  <c r="J108" i="4030"/>
  <c r="V108" i="4030"/>
  <c r="V124" i="4030" s="1"/>
  <c r="K108" i="4030"/>
  <c r="K124" i="4030" s="1"/>
  <c r="W108" i="4030"/>
  <c r="W124" i="4030" s="1"/>
  <c r="L108" i="4030"/>
  <c r="L124" i="4030" s="1"/>
  <c r="X122" i="4030"/>
  <c r="X108" i="4030"/>
  <c r="M108" i="4030"/>
  <c r="M124" i="4030" s="1"/>
  <c r="N108" i="4030"/>
  <c r="N124" i="4030" s="1"/>
  <c r="O108" i="4030"/>
  <c r="O124" i="4030" s="1"/>
  <c r="P108" i="4030"/>
  <c r="Q108" i="4030"/>
  <c r="Q124" i="4030" s="1"/>
  <c r="F108" i="4030"/>
  <c r="F124" i="4030" s="1"/>
  <c r="R108" i="4030"/>
  <c r="R124" i="4030" s="1"/>
  <c r="G108" i="4030"/>
  <c r="S108" i="4030"/>
  <c r="J108" i="4029"/>
  <c r="K108" i="4029"/>
  <c r="K124" i="4029" s="1"/>
  <c r="W122" i="4029"/>
  <c r="W108" i="4029"/>
  <c r="W124" i="4029" s="1"/>
  <c r="L108" i="4029"/>
  <c r="L124" i="4029" s="1"/>
  <c r="X122" i="4029"/>
  <c r="X108" i="4029"/>
  <c r="M108" i="4029"/>
  <c r="N108" i="4029"/>
  <c r="N124" i="4029" s="1"/>
  <c r="V108" i="4029"/>
  <c r="V124" i="4029" s="1"/>
  <c r="O108" i="4029"/>
  <c r="O124" i="4029" s="1"/>
  <c r="P108" i="4029"/>
  <c r="Q108" i="4029"/>
  <c r="Q124" i="4029" s="1"/>
  <c r="F108" i="4029"/>
  <c r="F124" i="4029" s="1"/>
  <c r="R108" i="4029"/>
  <c r="R124" i="4029" s="1"/>
  <c r="G108" i="4029"/>
  <c r="G124" i="4029" s="1"/>
  <c r="S108" i="4029"/>
  <c r="H108" i="4029"/>
  <c r="H124" i="4029" s="1"/>
  <c r="T122" i="4029"/>
  <c r="T108" i="4029"/>
  <c r="T124" i="4029" s="1"/>
  <c r="I108" i="4029"/>
  <c r="I124" i="4029" s="1"/>
  <c r="U122" i="4029"/>
  <c r="U108" i="4029"/>
  <c r="U124" i="4029" s="1"/>
  <c r="H108" i="4028"/>
  <c r="T108" i="4028"/>
  <c r="T124" i="4028" s="1"/>
  <c r="I108" i="4028"/>
  <c r="I124" i="4028" s="1"/>
  <c r="U122" i="4028"/>
  <c r="U108" i="4028"/>
  <c r="S108" i="4028"/>
  <c r="S124" i="4028" s="1"/>
  <c r="J108" i="4028"/>
  <c r="J124" i="4028" s="1"/>
  <c r="V122" i="4028"/>
  <c r="V108" i="4028"/>
  <c r="K108" i="4028"/>
  <c r="W108" i="4028"/>
  <c r="W124" i="4028" s="1"/>
  <c r="L108" i="4028"/>
  <c r="L124" i="4028" s="1"/>
  <c r="X108" i="4028"/>
  <c r="X124" i="4028" s="1"/>
  <c r="M108" i="4028"/>
  <c r="M124" i="4028" s="1"/>
  <c r="G108" i="4028"/>
  <c r="G124" i="4028" s="1"/>
  <c r="N108" i="4028"/>
  <c r="N124" i="4028" s="1"/>
  <c r="O108" i="4028"/>
  <c r="O124" i="4028" s="1"/>
  <c r="P108" i="4028"/>
  <c r="P124" i="4028" s="1"/>
  <c r="Q108" i="4028"/>
  <c r="F108" i="4028"/>
  <c r="F124" i="4028" s="1"/>
  <c r="R108" i="4028"/>
  <c r="R124" i="4028" s="1"/>
  <c r="K108" i="4027"/>
  <c r="W108" i="4027"/>
  <c r="W124" i="4027" s="1"/>
  <c r="L108" i="4027"/>
  <c r="L124" i="4027" s="1"/>
  <c r="X122" i="4027"/>
  <c r="X108" i="4027"/>
  <c r="X124" i="4027" s="1"/>
  <c r="M108" i="4027"/>
  <c r="M124" i="4027" s="1"/>
  <c r="N108" i="4027"/>
  <c r="O108" i="4027"/>
  <c r="O124" i="4027" s="1"/>
  <c r="P108" i="4027"/>
  <c r="P124" i="4027" s="1"/>
  <c r="Q108" i="4027"/>
  <c r="F108" i="4027"/>
  <c r="F124" i="4027" s="1"/>
  <c r="R108" i="4027"/>
  <c r="R124" i="4027" s="1"/>
  <c r="G108" i="4027"/>
  <c r="G124" i="4027" s="1"/>
  <c r="S108" i="4027"/>
  <c r="S124" i="4027" s="1"/>
  <c r="H108" i="4027"/>
  <c r="T108" i="4027"/>
  <c r="I108" i="4027"/>
  <c r="I124" i="4027" s="1"/>
  <c r="U108" i="4027"/>
  <c r="U124" i="4027" s="1"/>
  <c r="J108" i="4027"/>
  <c r="J124" i="4027" s="1"/>
  <c r="V122" i="4027"/>
  <c r="V108" i="4027"/>
  <c r="V124" i="4027" s="1"/>
  <c r="N108" i="4026"/>
  <c r="N124" i="4026" s="1"/>
  <c r="O108" i="4026"/>
  <c r="O124" i="4026" s="1"/>
  <c r="P108" i="4026"/>
  <c r="P124" i="4026" s="1"/>
  <c r="M108" i="4026"/>
  <c r="M124" i="4026" s="1"/>
  <c r="Q108" i="4026"/>
  <c r="Q124" i="4026" s="1"/>
  <c r="F108" i="4026"/>
  <c r="F124" i="4026" s="1"/>
  <c r="R108" i="4026"/>
  <c r="R124" i="4026" s="1"/>
  <c r="G108" i="4026"/>
  <c r="G124" i="4026" s="1"/>
  <c r="S108" i="4026"/>
  <c r="S124" i="4026" s="1"/>
  <c r="H108" i="4026"/>
  <c r="H124" i="4026" s="1"/>
  <c r="T108" i="4026"/>
  <c r="T124" i="4026" s="1"/>
  <c r="I108" i="4026"/>
  <c r="I124" i="4026" s="1"/>
  <c r="U108" i="4026"/>
  <c r="U124" i="4026" s="1"/>
  <c r="J108" i="4026"/>
  <c r="J124" i="4026" s="1"/>
  <c r="V122" i="4026"/>
  <c r="V108" i="4026"/>
  <c r="K108" i="4026"/>
  <c r="K124" i="4026" s="1"/>
  <c r="W108" i="4026"/>
  <c r="W124" i="4026" s="1"/>
  <c r="L108" i="4026"/>
  <c r="L124" i="4026" s="1"/>
  <c r="X108" i="4026"/>
  <c r="X124" i="4026" s="1"/>
  <c r="F108" i="4025"/>
  <c r="R108" i="4025"/>
  <c r="G108" i="4025"/>
  <c r="G124" i="4025" s="1"/>
  <c r="S108" i="4025"/>
  <c r="S124" i="4025" s="1"/>
  <c r="H108" i="4025"/>
  <c r="H124" i="4025" s="1"/>
  <c r="T108" i="4025"/>
  <c r="T124" i="4025" s="1"/>
  <c r="I108" i="4025"/>
  <c r="I124" i="4025" s="1"/>
  <c r="U108" i="4025"/>
  <c r="J108" i="4025"/>
  <c r="J124" i="4025" s="1"/>
  <c r="V122" i="4025"/>
  <c r="V108" i="4025"/>
  <c r="K108" i="4025"/>
  <c r="K124" i="4025" s="1"/>
  <c r="W108" i="4025"/>
  <c r="W124" i="4025" s="1"/>
  <c r="L108" i="4025"/>
  <c r="X108" i="4025"/>
  <c r="M108" i="4025"/>
  <c r="M124" i="4025" s="1"/>
  <c r="N108" i="4025"/>
  <c r="N124" i="4025" s="1"/>
  <c r="O108" i="4025"/>
  <c r="P108" i="4025"/>
  <c r="P124" i="4025" s="1"/>
  <c r="Q108" i="4025"/>
  <c r="Q124" i="4025" s="1"/>
  <c r="W108" i="4024"/>
  <c r="W124" i="4024" s="1"/>
  <c r="L108" i="4024"/>
  <c r="X108" i="4024"/>
  <c r="M108" i="4024"/>
  <c r="M124" i="4024" s="1"/>
  <c r="K108" i="4024"/>
  <c r="N108" i="4024"/>
  <c r="N124" i="4024" s="1"/>
  <c r="O108" i="4024"/>
  <c r="O124" i="4024" s="1"/>
  <c r="P108" i="4024"/>
  <c r="P124" i="4024" s="1"/>
  <c r="Q108" i="4024"/>
  <c r="F108" i="4024"/>
  <c r="R108" i="4024"/>
  <c r="R124" i="4024" s="1"/>
  <c r="G108" i="4024"/>
  <c r="G124" i="4024" s="1"/>
  <c r="S108" i="4024"/>
  <c r="S124" i="4024" s="1"/>
  <c r="H108" i="4024"/>
  <c r="T108" i="4024"/>
  <c r="I108" i="4024"/>
  <c r="I124" i="4024" s="1"/>
  <c r="U108" i="4024"/>
  <c r="U124" i="4024" s="1"/>
  <c r="J108" i="4024"/>
  <c r="J124" i="4024" s="1"/>
  <c r="V122" i="4024"/>
  <c r="V108" i="4024"/>
  <c r="AG130" i="4037"/>
  <c r="AG132" i="4037" s="1"/>
  <c r="AG139" i="4037" s="1"/>
  <c r="AG140" i="4037" s="1"/>
  <c r="AG142" i="4037" s="1"/>
  <c r="AG144" i="4037" s="1"/>
  <c r="L8" i="149"/>
  <c r="L6" i="149"/>
  <c r="AD137" i="4035"/>
  <c r="AP137" i="4035"/>
  <c r="X124" i="4035"/>
  <c r="AP131" i="4034"/>
  <c r="AE131" i="4032"/>
  <c r="AQ131" i="4032"/>
  <c r="AG131" i="4031"/>
  <c r="D42" i="4031"/>
  <c r="AB131" i="4031"/>
  <c r="AN131" i="4031"/>
  <c r="AD137" i="4031"/>
  <c r="Z137" i="4030"/>
  <c r="AL137" i="4030"/>
  <c r="AH131" i="4030"/>
  <c r="V124" i="4028"/>
  <c r="AE131" i="4028"/>
  <c r="AQ131" i="4028"/>
  <c r="U137" i="4028"/>
  <c r="AG137" i="4028"/>
  <c r="AE131" i="4027"/>
  <c r="AQ131" i="4027"/>
  <c r="Z137" i="4025"/>
  <c r="AL137" i="4025"/>
  <c r="U130" i="4037"/>
  <c r="U132" i="4037" s="1"/>
  <c r="I130" i="4037"/>
  <c r="I132" i="4037" s="1"/>
  <c r="I139" i="4037" s="1"/>
  <c r="I140" i="4037" s="1"/>
  <c r="I143" i="4037" s="1"/>
  <c r="AQ137" i="4028"/>
  <c r="T142" i="4037"/>
  <c r="T144" i="4037" s="1"/>
  <c r="T143" i="4037"/>
  <c r="Z142" i="4037"/>
  <c r="Z144" i="4037" s="1"/>
  <c r="AR143" i="4037"/>
  <c r="AI142" i="4037"/>
  <c r="AI144" i="4037" s="1"/>
  <c r="X142" i="4037"/>
  <c r="X144" i="4037" s="1"/>
  <c r="AF142" i="4037"/>
  <c r="AF144" i="4037" s="1"/>
  <c r="AE143" i="4037"/>
  <c r="AL142" i="4037"/>
  <c r="AL144" i="4037" s="1"/>
  <c r="AC143" i="4037"/>
  <c r="V142" i="4037"/>
  <c r="V144" i="4037" s="1"/>
  <c r="AB143" i="4037"/>
  <c r="AH142" i="4037"/>
  <c r="AH144" i="4037" s="1"/>
  <c r="AN139" i="4037"/>
  <c r="AN140" i="4037" s="1"/>
  <c r="AN142" i="4037" s="1"/>
  <c r="AN144" i="4037" s="1"/>
  <c r="W139" i="4037"/>
  <c r="W140" i="4037" s="1"/>
  <c r="W142" i="4037" s="1"/>
  <c r="W144" i="4037" s="1"/>
  <c r="O139" i="4037"/>
  <c r="M139" i="4037"/>
  <c r="H140" i="4037"/>
  <c r="F140" i="4037"/>
  <c r="G143" i="4037"/>
  <c r="G142" i="4037"/>
  <c r="G144" i="4037" s="1"/>
  <c r="AK139" i="4037"/>
  <c r="AK140" i="4037" s="1"/>
  <c r="AK142" i="4037" s="1"/>
  <c r="AK144" i="4037" s="1"/>
  <c r="AA139" i="4037"/>
  <c r="AA140" i="4037" s="1"/>
  <c r="AA142" i="4037" s="1"/>
  <c r="AA144" i="4037" s="1"/>
  <c r="AM142" i="4037"/>
  <c r="AM144" i="4037" s="1"/>
  <c r="P140" i="4037"/>
  <c r="AJ139" i="4037"/>
  <c r="AJ140" i="4037" s="1"/>
  <c r="AJ143" i="4037" s="1"/>
  <c r="AO143" i="4037"/>
  <c r="Y142" i="4037"/>
  <c r="Y144" i="4037" s="1"/>
  <c r="L140" i="4037"/>
  <c r="K143" i="4037"/>
  <c r="K142" i="4037"/>
  <c r="K144" i="4037" s="1"/>
  <c r="J139" i="4037"/>
  <c r="E140" i="4037"/>
  <c r="S143" i="4037"/>
  <c r="S142" i="4037"/>
  <c r="S144" i="4037" s="1"/>
  <c r="R142" i="4037"/>
  <c r="R144" i="4037" s="1"/>
  <c r="R143" i="4037"/>
  <c r="Q140" i="4037"/>
  <c r="N140" i="4037"/>
  <c r="AD137" i="4030"/>
  <c r="AP137" i="4030"/>
  <c r="AB137" i="4033"/>
  <c r="AN137" i="4033"/>
  <c r="Y137" i="4031"/>
  <c r="AK137" i="4031"/>
  <c r="AQ137" i="4030"/>
  <c r="AA137" i="4031"/>
  <c r="AM137" i="4031"/>
  <c r="AC137" i="4026"/>
  <c r="AO137" i="4026"/>
  <c r="AC131" i="4033"/>
  <c r="AO131" i="4033"/>
  <c r="AC131" i="4025"/>
  <c r="AO131" i="4025"/>
  <c r="Z131" i="4028"/>
  <c r="AL131" i="4028"/>
  <c r="AE131" i="4029"/>
  <c r="AQ131" i="4029"/>
  <c r="X124" i="4031"/>
  <c r="AC137" i="4031"/>
  <c r="AO137" i="4031"/>
  <c r="AC137" i="4033"/>
  <c r="AC137" i="4021"/>
  <c r="AO137" i="4021"/>
  <c r="AE131" i="4024"/>
  <c r="AQ131" i="4024"/>
  <c r="Y137" i="4034"/>
  <c r="AG137" i="4036"/>
  <c r="AD137" i="4025"/>
  <c r="AA137" i="4028"/>
  <c r="T137" i="4029"/>
  <c r="AF137" i="4029"/>
  <c r="AR137" i="4029"/>
  <c r="AB131" i="4026"/>
  <c r="AN131" i="4026"/>
  <c r="AD131" i="4036"/>
  <c r="AP131" i="4036"/>
  <c r="AD131" i="4026"/>
  <c r="AP131" i="4026"/>
  <c r="D42" i="4027"/>
  <c r="AF131" i="4027"/>
  <c r="AR131" i="4027"/>
  <c r="AE131" i="4034"/>
  <c r="AJ131" i="4025"/>
  <c r="W137" i="4025"/>
  <c r="AE131" i="4026"/>
  <c r="AQ131" i="4026"/>
  <c r="Y131" i="4031"/>
  <c r="AK131" i="4031"/>
  <c r="Y131" i="4033"/>
  <c r="AE137" i="4034"/>
  <c r="AQ137" i="4034"/>
  <c r="Z131" i="4025"/>
  <c r="AL131" i="4025"/>
  <c r="Y137" i="4025"/>
  <c r="T137" i="4026"/>
  <c r="AF137" i="4026"/>
  <c r="AR137" i="4026"/>
  <c r="AB131" i="4029"/>
  <c r="AN131" i="4029"/>
  <c r="AA131" i="4031"/>
  <c r="AE137" i="4032"/>
  <c r="AQ137" i="4032"/>
  <c r="AA131" i="4033"/>
  <c r="AM131" i="4033"/>
  <c r="Y137" i="4024"/>
  <c r="AH131" i="4025"/>
  <c r="U137" i="4025"/>
  <c r="AG137" i="4025"/>
  <c r="Z131" i="4026"/>
  <c r="AL131" i="4026"/>
  <c r="Z137" i="4031"/>
  <c r="AL137" i="4031"/>
  <c r="T137" i="4033"/>
  <c r="AF137" i="4033"/>
  <c r="AR137" i="4033"/>
  <c r="AI137" i="4025"/>
  <c r="V137" i="4033"/>
  <c r="AH137" i="4033"/>
  <c r="AK137" i="4034"/>
  <c r="AC131" i="4026"/>
  <c r="AO131" i="4026"/>
  <c r="AB137" i="4026"/>
  <c r="AN137" i="4026"/>
  <c r="AD131" i="4027"/>
  <c r="AP131" i="4027"/>
  <c r="AC137" i="4027"/>
  <c r="AD131" i="4031"/>
  <c r="AP131" i="4031"/>
  <c r="AJ131" i="4033"/>
  <c r="AF131" i="4035"/>
  <c r="E102" i="4022"/>
  <c r="D42" i="4028"/>
  <c r="AB131" i="4030"/>
  <c r="AN131" i="4030"/>
  <c r="AK131" i="4033"/>
  <c r="V137" i="4029"/>
  <c r="AH137" i="4029"/>
  <c r="AB137" i="4030"/>
  <c r="AN137" i="4030"/>
  <c r="T137" i="4031"/>
  <c r="AF137" i="4031"/>
  <c r="AR137" i="4031"/>
  <c r="AF131" i="4034"/>
  <c r="AR131" i="4034"/>
  <c r="Y131" i="4035"/>
  <c r="AK131" i="4035"/>
  <c r="W137" i="4031"/>
  <c r="AI137" i="4031"/>
  <c r="AD131" i="4033"/>
  <c r="AP131" i="4033"/>
  <c r="AG131" i="4034"/>
  <c r="AE137" i="4025"/>
  <c r="AQ137" i="4025"/>
  <c r="X137" i="4027"/>
  <c r="AC131" i="4032"/>
  <c r="AO131" i="4032"/>
  <c r="AA131" i="4035"/>
  <c r="AM131" i="4035"/>
  <c r="Z137" i="4035"/>
  <c r="AL137" i="4035"/>
  <c r="Z131" i="4027"/>
  <c r="AL131" i="4027"/>
  <c r="D26" i="4028"/>
  <c r="V137" i="4030"/>
  <c r="AH137" i="4030"/>
  <c r="AF131" i="4033"/>
  <c r="AR131" i="4033"/>
  <c r="Z137" i="4036"/>
  <c r="AL137" i="4036"/>
  <c r="AC137" i="4035"/>
  <c r="AO137" i="4035"/>
  <c r="Z137" i="4033"/>
  <c r="AL137" i="4033"/>
  <c r="AE137" i="4033"/>
  <c r="AQ137" i="4033"/>
  <c r="T137" i="4032"/>
  <c r="AF137" i="4032"/>
  <c r="AR137" i="4032"/>
  <c r="Y137" i="4032"/>
  <c r="AK137" i="4032"/>
  <c r="AC137" i="4032"/>
  <c r="AO137" i="4032"/>
  <c r="V137" i="4031"/>
  <c r="AH137" i="4031"/>
  <c r="AC137" i="4030"/>
  <c r="AO137" i="4030"/>
  <c r="AE137" i="4029"/>
  <c r="AQ137" i="4029"/>
  <c r="Y137" i="4028"/>
  <c r="AK137" i="4028"/>
  <c r="AB137" i="4028"/>
  <c r="AN137" i="4028"/>
  <c r="T137" i="4028"/>
  <c r="AF137" i="4028"/>
  <c r="AR137" i="4028"/>
  <c r="AA137" i="4027"/>
  <c r="AM137" i="4027"/>
  <c r="Y137" i="4026"/>
  <c r="AK137" i="4026"/>
  <c r="AA137" i="4026"/>
  <c r="AM137" i="4026"/>
  <c r="AE137" i="4026"/>
  <c r="AQ137" i="4026"/>
  <c r="W137" i="4026"/>
  <c r="AI137" i="4026"/>
  <c r="AB137" i="4025"/>
  <c r="AN137" i="4025"/>
  <c r="AD137" i="4024"/>
  <c r="AP137" i="4024"/>
  <c r="X137" i="4024"/>
  <c r="AJ137" i="4024"/>
  <c r="Z131" i="4036"/>
  <c r="AL131" i="4036"/>
  <c r="W137" i="4036"/>
  <c r="AI137" i="4036"/>
  <c r="W131" i="4036"/>
  <c r="AI131" i="4036"/>
  <c r="Z131" i="4035"/>
  <c r="AL131" i="4035"/>
  <c r="AD131" i="4035"/>
  <c r="AP131" i="4035"/>
  <c r="AR131" i="4035"/>
  <c r="AG131" i="4035"/>
  <c r="T137" i="4035"/>
  <c r="AF137" i="4035"/>
  <c r="AR137" i="4035"/>
  <c r="AJ131" i="4035"/>
  <c r="W137" i="4035"/>
  <c r="AI137" i="4035"/>
  <c r="AQ131" i="4034"/>
  <c r="V137" i="4034"/>
  <c r="AP137" i="4031"/>
  <c r="AJ131" i="4031"/>
  <c r="AG131" i="4029"/>
  <c r="AI131" i="4029"/>
  <c r="W137" i="4029"/>
  <c r="AI137" i="4029"/>
  <c r="AD137" i="4028"/>
  <c r="AM137" i="4028"/>
  <c r="AC137" i="4028"/>
  <c r="AO137" i="4028"/>
  <c r="D39" i="4027"/>
  <c r="D26" i="4027"/>
  <c r="AJ137" i="4027"/>
  <c r="AF131" i="4026"/>
  <c r="AR131" i="4026"/>
  <c r="V137" i="4026"/>
  <c r="AH137" i="4026"/>
  <c r="V124" i="4024"/>
  <c r="AH131" i="4024"/>
  <c r="AJ131" i="4024"/>
  <c r="Y131" i="4024"/>
  <c r="AK131" i="4024"/>
  <c r="AK137" i="4024"/>
  <c r="AA137" i="4024"/>
  <c r="AM137" i="4024"/>
  <c r="X137" i="4036"/>
  <c r="AJ137" i="4036"/>
  <c r="AC137" i="4036"/>
  <c r="AO137" i="4036"/>
  <c r="AK131" i="4036"/>
  <c r="AE137" i="4036"/>
  <c r="AQ137" i="4036"/>
  <c r="AA131" i="4036"/>
  <c r="AM131" i="4036"/>
  <c r="AA137" i="4022"/>
  <c r="AM137" i="4022"/>
  <c r="AJ131" i="4020"/>
  <c r="U137" i="4019"/>
  <c r="AG137" i="4019"/>
  <c r="T137" i="4023"/>
  <c r="AF137" i="4023"/>
  <c r="AR137" i="4023"/>
  <c r="AH131" i="4022"/>
  <c r="W137" i="4023"/>
  <c r="AI137" i="4023"/>
  <c r="Y137" i="4020"/>
  <c r="AK137" i="4020"/>
  <c r="V137" i="4022"/>
  <c r="AH137" i="4022"/>
  <c r="AE137" i="4019"/>
  <c r="AQ137" i="4019"/>
  <c r="AB131" i="4023"/>
  <c r="AA137" i="4023"/>
  <c r="U122" i="4018"/>
  <c r="AA116" i="4018"/>
  <c r="AM116" i="4018"/>
  <c r="K117" i="4018"/>
  <c r="W117" i="4018"/>
  <c r="AI117" i="4018"/>
  <c r="Z131" i="4018"/>
  <c r="AL131" i="4018"/>
  <c r="J121" i="4018"/>
  <c r="V121" i="4018"/>
  <c r="AH121" i="4018"/>
  <c r="F122" i="4018"/>
  <c r="R122" i="4018"/>
  <c r="AI122" i="4018"/>
  <c r="G123" i="4018"/>
  <c r="S123" i="4018"/>
  <c r="AE123" i="4018"/>
  <c r="AQ123" i="4018"/>
  <c r="AF131" i="4020"/>
  <c r="AD137" i="4022"/>
  <c r="AP137" i="4022"/>
  <c r="E117" i="4018"/>
  <c r="AB121" i="4018"/>
  <c r="AB131" i="4018" s="1"/>
  <c r="M123" i="4018"/>
  <c r="U116" i="4018"/>
  <c r="AG116" i="4018"/>
  <c r="Q117" i="4018"/>
  <c r="AC117" i="4018"/>
  <c r="AO117" i="4018"/>
  <c r="P121" i="4018"/>
  <c r="AN121" i="4018"/>
  <c r="AN131" i="4018" s="1"/>
  <c r="L122" i="4018"/>
  <c r="AC122" i="4018"/>
  <c r="AO122" i="4018"/>
  <c r="Y123" i="4018"/>
  <c r="AK123" i="4018"/>
  <c r="V116" i="4018"/>
  <c r="AH116" i="4018"/>
  <c r="F117" i="4018"/>
  <c r="R117" i="4018"/>
  <c r="AD117" i="4018"/>
  <c r="AP117" i="4018"/>
  <c r="AG131" i="4018"/>
  <c r="E121" i="4018"/>
  <c r="Q121" i="4018"/>
  <c r="AC121" i="4018"/>
  <c r="AC131" i="4018" s="1"/>
  <c r="AO121" i="4018"/>
  <c r="AO131" i="4018" s="1"/>
  <c r="M122" i="4018"/>
  <c r="AD122" i="4018"/>
  <c r="AP122" i="4018"/>
  <c r="N123" i="4018"/>
  <c r="Z123" i="4018"/>
  <c r="AL123" i="4018"/>
  <c r="W137" i="4019"/>
  <c r="AI137" i="4019"/>
  <c r="AA131" i="4023"/>
  <c r="AM131" i="4023"/>
  <c r="X116" i="4018"/>
  <c r="AJ116" i="4018"/>
  <c r="H117" i="4018"/>
  <c r="T117" i="4018"/>
  <c r="AF117" i="4018"/>
  <c r="AR117" i="4018"/>
  <c r="AI131" i="4018"/>
  <c r="G121" i="4018"/>
  <c r="S121" i="4018"/>
  <c r="AE121" i="4018"/>
  <c r="AE131" i="4018" s="1"/>
  <c r="AQ121" i="4018"/>
  <c r="O122" i="4018"/>
  <c r="AF122" i="4018"/>
  <c r="AR122" i="4018"/>
  <c r="P123" i="4018"/>
  <c r="AB123" i="4018"/>
  <c r="AN123" i="4018"/>
  <c r="I117" i="4018"/>
  <c r="U117" i="4018"/>
  <c r="AG117" i="4018"/>
  <c r="AJ131" i="4018"/>
  <c r="H121" i="4018"/>
  <c r="T121" i="4018"/>
  <c r="AF121" i="4018"/>
  <c r="AR121" i="4018"/>
  <c r="P122" i="4018"/>
  <c r="AG122" i="4018"/>
  <c r="E123" i="4018"/>
  <c r="Q123" i="4018"/>
  <c r="AC123" i="4018"/>
  <c r="AC137" i="4020"/>
  <c r="AO137" i="4020"/>
  <c r="AC131" i="4022"/>
  <c r="AO131" i="4022"/>
  <c r="AB137" i="4022"/>
  <c r="AD131" i="4023"/>
  <c r="AP131" i="4023"/>
  <c r="AC137" i="4023"/>
  <c r="AO137" i="4023"/>
  <c r="Y131" i="4019"/>
  <c r="AK131" i="4019"/>
  <c r="X137" i="4019"/>
  <c r="AJ137" i="4019"/>
  <c r="Y131" i="4020"/>
  <c r="Y131" i="4021"/>
  <c r="AK131" i="4021"/>
  <c r="X137" i="4021"/>
  <c r="AJ137" i="4021"/>
  <c r="AC137" i="4022"/>
  <c r="AO137" i="4022"/>
  <c r="AA131" i="4019"/>
  <c r="AM131" i="4019"/>
  <c r="AA131" i="4020"/>
  <c r="AM131" i="4020"/>
  <c r="Z137" i="4020"/>
  <c r="AL137" i="4020"/>
  <c r="AA131" i="4021"/>
  <c r="AM131" i="4021"/>
  <c r="AN131" i="4023"/>
  <c r="AB131" i="4019"/>
  <c r="AN131" i="4019"/>
  <c r="AA137" i="4019"/>
  <c r="AM137" i="4019"/>
  <c r="AB131" i="4021"/>
  <c r="AN131" i="4021"/>
  <c r="AG131" i="4022"/>
  <c r="T137" i="4022"/>
  <c r="AF137" i="4022"/>
  <c r="AR137" i="4022"/>
  <c r="AC131" i="4023"/>
  <c r="AO131" i="4023"/>
  <c r="AD131" i="4021"/>
  <c r="AP131" i="4021"/>
  <c r="AI131" i="4022"/>
  <c r="U124" i="4019"/>
  <c r="AE131" i="4019"/>
  <c r="AQ131" i="4019"/>
  <c r="AE131" i="4021"/>
  <c r="AQ131" i="4021"/>
  <c r="W137" i="4022"/>
  <c r="AI137" i="4022"/>
  <c r="AE137" i="4023"/>
  <c r="AQ137" i="4023"/>
  <c r="T137" i="4019"/>
  <c r="AF137" i="4019"/>
  <c r="AR137" i="4019"/>
  <c r="Z131" i="4022"/>
  <c r="AL131" i="4022"/>
  <c r="Y137" i="4022"/>
  <c r="AH131" i="4023"/>
  <c r="AH131" i="4020"/>
  <c r="AA131" i="4022"/>
  <c r="AM131" i="4022"/>
  <c r="Z137" i="4022"/>
  <c r="AL137" i="4022"/>
  <c r="V137" i="4023"/>
  <c r="AH137" i="4023"/>
  <c r="AH131" i="4019"/>
  <c r="AB131" i="4036"/>
  <c r="T131" i="4036"/>
  <c r="AF131" i="4036"/>
  <c r="AR131" i="4036"/>
  <c r="AB137" i="4036"/>
  <c r="AN137" i="4036"/>
  <c r="X137" i="4035"/>
  <c r="AJ137" i="4035"/>
  <c r="AB137" i="4035"/>
  <c r="AN137" i="4035"/>
  <c r="AE131" i="4035"/>
  <c r="AQ131" i="4035"/>
  <c r="C34" i="4035"/>
  <c r="AR115" i="4035" s="1"/>
  <c r="AR118" i="4035" s="1"/>
  <c r="AR126" i="4035" s="1"/>
  <c r="AJ131" i="4034"/>
  <c r="Y131" i="4034"/>
  <c r="AK131" i="4034"/>
  <c r="Z131" i="4034"/>
  <c r="AL131" i="4034"/>
  <c r="E102" i="4033"/>
  <c r="U124" i="4033"/>
  <c r="D39" i="4032"/>
  <c r="D42" i="4032"/>
  <c r="V137" i="4032"/>
  <c r="D26" i="4032"/>
  <c r="Z137" i="4032"/>
  <c r="AL137" i="4032"/>
  <c r="AA137" i="4030"/>
  <c r="AM137" i="4030"/>
  <c r="AF131" i="4030"/>
  <c r="AR131" i="4030"/>
  <c r="U137" i="4030"/>
  <c r="AG137" i="4030"/>
  <c r="AI131" i="4030"/>
  <c r="D28" i="4030"/>
  <c r="W137" i="4030"/>
  <c r="AI137" i="4030"/>
  <c r="Y131" i="4030"/>
  <c r="AK131" i="4030"/>
  <c r="X124" i="4030"/>
  <c r="Z131" i="4030"/>
  <c r="AL131" i="4030"/>
  <c r="E102" i="4029"/>
  <c r="Z131" i="4029"/>
  <c r="Y137" i="4029"/>
  <c r="AK137" i="4029"/>
  <c r="Z137" i="4029"/>
  <c r="AL137" i="4029"/>
  <c r="AD131" i="4029"/>
  <c r="AP131" i="4029"/>
  <c r="AB137" i="4029"/>
  <c r="AN137" i="4029"/>
  <c r="AP137" i="4028"/>
  <c r="AF131" i="4028"/>
  <c r="AR131" i="4028"/>
  <c r="AG131" i="4028"/>
  <c r="D39" i="4028"/>
  <c r="AJ131" i="4028"/>
  <c r="W137" i="4028"/>
  <c r="AI137" i="4028"/>
  <c r="AJ131" i="4027"/>
  <c r="AA131" i="4027"/>
  <c r="AM131" i="4027"/>
  <c r="Z137" i="4027"/>
  <c r="AL137" i="4027"/>
  <c r="AC131" i="4027"/>
  <c r="AO131" i="4027"/>
  <c r="AO137" i="4027"/>
  <c r="AD137" i="4027"/>
  <c r="AP137" i="4027"/>
  <c r="AA131" i="4026"/>
  <c r="AM131" i="4026"/>
  <c r="D42" i="4026"/>
  <c r="Y131" i="4026"/>
  <c r="AK131" i="4026"/>
  <c r="X137" i="4026"/>
  <c r="AJ137" i="4026"/>
  <c r="F106" i="4025"/>
  <c r="G106" i="4025" s="1"/>
  <c r="H106" i="4025" s="1"/>
  <c r="I106" i="4025" s="1"/>
  <c r="J106" i="4025" s="1"/>
  <c r="K106" i="4025" s="1"/>
  <c r="L106" i="4025" s="1"/>
  <c r="M106" i="4025" s="1"/>
  <c r="N106" i="4025" s="1"/>
  <c r="O106" i="4025" s="1"/>
  <c r="P106" i="4025" s="1"/>
  <c r="Q106" i="4025" s="1"/>
  <c r="R106" i="4025" s="1"/>
  <c r="S106" i="4025" s="1"/>
  <c r="T106" i="4025" s="1"/>
  <c r="U106" i="4025" s="1"/>
  <c r="V106" i="4025" s="1"/>
  <c r="W106" i="4025" s="1"/>
  <c r="X106" i="4025" s="1"/>
  <c r="Y106" i="4025" s="1"/>
  <c r="Z106" i="4025" s="1"/>
  <c r="AA106" i="4025" s="1"/>
  <c r="AB106" i="4025" s="1"/>
  <c r="AC106" i="4025" s="1"/>
  <c r="AD106" i="4025" s="1"/>
  <c r="AE106" i="4025" s="1"/>
  <c r="AF106" i="4025" s="1"/>
  <c r="AG106" i="4025" s="1"/>
  <c r="AH106" i="4025" s="1"/>
  <c r="AI106" i="4025" s="1"/>
  <c r="AJ106" i="4025" s="1"/>
  <c r="AK106" i="4025" s="1"/>
  <c r="AL106" i="4025" s="1"/>
  <c r="AM106" i="4025" s="1"/>
  <c r="AN106" i="4025" s="1"/>
  <c r="AO106" i="4025" s="1"/>
  <c r="AP106" i="4025" s="1"/>
  <c r="AQ106" i="4025" s="1"/>
  <c r="AR106" i="4025" s="1"/>
  <c r="AI131" i="4025"/>
  <c r="V137" i="4025"/>
  <c r="AH137" i="4025"/>
  <c r="Y131" i="4025"/>
  <c r="AK131" i="4025"/>
  <c r="AK137" i="4025"/>
  <c r="AA137" i="4025"/>
  <c r="AM137" i="4025"/>
  <c r="AF131" i="4025"/>
  <c r="AR131" i="4025"/>
  <c r="V137" i="4024"/>
  <c r="AH137" i="4024"/>
  <c r="Z131" i="4024"/>
  <c r="AL131" i="4024"/>
  <c r="AC131" i="4024"/>
  <c r="AO131" i="4024"/>
  <c r="AE131" i="4023"/>
  <c r="AQ131" i="4023"/>
  <c r="AG131" i="4023"/>
  <c r="E102" i="4023"/>
  <c r="AJ131" i="4023"/>
  <c r="Y137" i="4023"/>
  <c r="AK137" i="4023"/>
  <c r="AM137" i="4023"/>
  <c r="AB137" i="4023"/>
  <c r="AN137" i="4023"/>
  <c r="X137" i="4022"/>
  <c r="AB131" i="4022"/>
  <c r="AN131" i="4022"/>
  <c r="V122" i="4022"/>
  <c r="AD131" i="4022"/>
  <c r="AP131" i="4022"/>
  <c r="AE131" i="4022"/>
  <c r="AQ131" i="4022"/>
  <c r="AF131" i="4022"/>
  <c r="AR131" i="4022"/>
  <c r="AE137" i="4022"/>
  <c r="AQ137" i="4022"/>
  <c r="AE137" i="4021"/>
  <c r="AQ137" i="4021"/>
  <c r="AJ131" i="4021"/>
  <c r="AI131" i="4020"/>
  <c r="V137" i="4020"/>
  <c r="AH137" i="4020"/>
  <c r="AK131" i="4020"/>
  <c r="Z131" i="4020"/>
  <c r="AL131" i="4020"/>
  <c r="AC131" i="4020"/>
  <c r="AO131" i="4020"/>
  <c r="AB137" i="4020"/>
  <c r="AN137" i="4020"/>
  <c r="AR131" i="4020"/>
  <c r="AE137" i="4020"/>
  <c r="AQ137" i="4020"/>
  <c r="AD137" i="4019"/>
  <c r="AP137" i="4019"/>
  <c r="AI131" i="4019"/>
  <c r="AJ131" i="4019"/>
  <c r="Y131" i="4018"/>
  <c r="AK131" i="4018"/>
  <c r="AD137" i="4018"/>
  <c r="AP137" i="4018"/>
  <c r="AA137" i="4018"/>
  <c r="AM137" i="4018"/>
  <c r="Y137" i="4036"/>
  <c r="AK137" i="4036"/>
  <c r="D39" i="4036"/>
  <c r="AC131" i="4036"/>
  <c r="AO131" i="4036"/>
  <c r="AA137" i="4036"/>
  <c r="AM137" i="4036"/>
  <c r="D40" i="4036"/>
  <c r="D42" i="4036"/>
  <c r="AD137" i="4036"/>
  <c r="AP137" i="4036"/>
  <c r="D43" i="4036"/>
  <c r="U131" i="4036"/>
  <c r="AG131" i="4036"/>
  <c r="T137" i="4036"/>
  <c r="AF137" i="4036"/>
  <c r="AR137" i="4036"/>
  <c r="D26" i="4036"/>
  <c r="X131" i="4036"/>
  <c r="AJ131" i="4036"/>
  <c r="V137" i="4036"/>
  <c r="AH137" i="4036"/>
  <c r="AH131" i="4035"/>
  <c r="AI131" i="4035"/>
  <c r="AE137" i="4035"/>
  <c r="U137" i="4035"/>
  <c r="AG137" i="4035"/>
  <c r="V137" i="4035"/>
  <c r="AB131" i="4035"/>
  <c r="AN131" i="4035"/>
  <c r="AC131" i="4035"/>
  <c r="AO131" i="4035"/>
  <c r="AK137" i="4035"/>
  <c r="AA137" i="4035"/>
  <c r="AM137" i="4035"/>
  <c r="C34" i="4034"/>
  <c r="AP115" i="4034" s="1"/>
  <c r="AH131" i="4034"/>
  <c r="AI131" i="4034"/>
  <c r="E102" i="4034"/>
  <c r="AH137" i="4034"/>
  <c r="X137" i="4034"/>
  <c r="AA131" i="4034"/>
  <c r="AM131" i="4034"/>
  <c r="AB131" i="4034"/>
  <c r="AN131" i="4034"/>
  <c r="V122" i="4034"/>
  <c r="AC131" i="4034"/>
  <c r="AO131" i="4034"/>
  <c r="AB137" i="4034"/>
  <c r="AN137" i="4034"/>
  <c r="AB131" i="4033"/>
  <c r="AN131" i="4033"/>
  <c r="D26" i="4033"/>
  <c r="AO137" i="4033"/>
  <c r="AE131" i="4033"/>
  <c r="AQ131" i="4033"/>
  <c r="D28" i="4033"/>
  <c r="AG131" i="4033"/>
  <c r="AH131" i="4033"/>
  <c r="D39" i="4033"/>
  <c r="AI131" i="4033"/>
  <c r="W137" i="4033"/>
  <c r="AI137" i="4033"/>
  <c r="D42" i="4033"/>
  <c r="Y137" i="4033"/>
  <c r="AK137" i="4033"/>
  <c r="AB131" i="4032"/>
  <c r="AN131" i="4032"/>
  <c r="AB137" i="4032"/>
  <c r="AN137" i="4032"/>
  <c r="AF131" i="4032"/>
  <c r="AR131" i="4032"/>
  <c r="D28" i="4032"/>
  <c r="AH131" i="4032"/>
  <c r="AI131" i="4032"/>
  <c r="AH137" i="4032"/>
  <c r="W137" i="4032"/>
  <c r="AI137" i="4032"/>
  <c r="AH131" i="4031"/>
  <c r="U137" i="4031"/>
  <c r="AG137" i="4031"/>
  <c r="X137" i="4031"/>
  <c r="AJ137" i="4031"/>
  <c r="Z131" i="4031"/>
  <c r="AL131" i="4031"/>
  <c r="D26" i="4031"/>
  <c r="AM131" i="4031"/>
  <c r="AC131" i="4031"/>
  <c r="AO131" i="4031"/>
  <c r="AB137" i="4031"/>
  <c r="AN137" i="4031"/>
  <c r="D39" i="4031"/>
  <c r="AE131" i="4031"/>
  <c r="AQ131" i="4031"/>
  <c r="AF131" i="4031"/>
  <c r="AR131" i="4031"/>
  <c r="AE137" i="4031"/>
  <c r="AQ137" i="4031"/>
  <c r="E102" i="4030"/>
  <c r="X137" i="4030"/>
  <c r="AJ137" i="4030"/>
  <c r="Y137" i="4030"/>
  <c r="AK137" i="4030"/>
  <c r="AC131" i="4030"/>
  <c r="AO131" i="4030"/>
  <c r="U124" i="4030"/>
  <c r="AE131" i="4030"/>
  <c r="AQ131" i="4030"/>
  <c r="T137" i="4030"/>
  <c r="AF137" i="4030"/>
  <c r="AR137" i="4030"/>
  <c r="X124" i="4029"/>
  <c r="AF131" i="4029"/>
  <c r="AR131" i="4029"/>
  <c r="AC137" i="4029"/>
  <c r="AO137" i="4029"/>
  <c r="D28" i="4029"/>
  <c r="AJ131" i="4029"/>
  <c r="Y131" i="4029"/>
  <c r="AK131" i="4029"/>
  <c r="AL131" i="4029"/>
  <c r="AA131" i="4029"/>
  <c r="AM131" i="4029"/>
  <c r="AC131" i="4029"/>
  <c r="AO131" i="4029"/>
  <c r="X122" i="4028"/>
  <c r="U124" i="4028"/>
  <c r="Z137" i="4028"/>
  <c r="AL137" i="4028"/>
  <c r="AH131" i="4028"/>
  <c r="AI131" i="4028"/>
  <c r="Y131" i="4028"/>
  <c r="V137" i="4028"/>
  <c r="AH137" i="4028"/>
  <c r="AA131" i="4028"/>
  <c r="AM131" i="4028"/>
  <c r="AN131" i="4028"/>
  <c r="X137" i="4028"/>
  <c r="AJ137" i="4028"/>
  <c r="AB131" i="4027"/>
  <c r="AN131" i="4027"/>
  <c r="U122" i="4027"/>
  <c r="AG131" i="4027"/>
  <c r="AH131" i="4027"/>
  <c r="AI131" i="4027"/>
  <c r="T137" i="4027"/>
  <c r="AF137" i="4027"/>
  <c r="AR137" i="4027"/>
  <c r="U137" i="4027"/>
  <c r="AG137" i="4027"/>
  <c r="Y131" i="4027"/>
  <c r="AK131" i="4027"/>
  <c r="W137" i="4027"/>
  <c r="AI137" i="4027"/>
  <c r="U122" i="4026"/>
  <c r="X122" i="4026"/>
  <c r="Z137" i="4026"/>
  <c r="AL137" i="4026"/>
  <c r="D26" i="4026"/>
  <c r="V124" i="4026"/>
  <c r="D28" i="4026"/>
  <c r="AG131" i="4026"/>
  <c r="AD137" i="4026"/>
  <c r="AP137" i="4026"/>
  <c r="AH131" i="4026"/>
  <c r="AI131" i="4026"/>
  <c r="D39" i="4026"/>
  <c r="AJ131" i="4026"/>
  <c r="U137" i="4026"/>
  <c r="AG137" i="4026"/>
  <c r="X137" i="4025"/>
  <c r="AJ137" i="4025"/>
  <c r="AR118" i="4025"/>
  <c r="AR126" i="4025" s="1"/>
  <c r="AB131" i="4025"/>
  <c r="AN131" i="4025"/>
  <c r="V124" i="4025"/>
  <c r="AD131" i="4025"/>
  <c r="AP131" i="4025"/>
  <c r="AC137" i="4025"/>
  <c r="AO137" i="4025"/>
  <c r="AE131" i="4025"/>
  <c r="AQ131" i="4025"/>
  <c r="AP137" i="4025"/>
  <c r="T137" i="4025"/>
  <c r="AF137" i="4025"/>
  <c r="AR137" i="4025"/>
  <c r="AR115" i="4024"/>
  <c r="AR118" i="4024" s="1"/>
  <c r="AR128" i="4024" s="1"/>
  <c r="AI131" i="4024"/>
  <c r="U137" i="4024"/>
  <c r="AG137" i="4024"/>
  <c r="F106" i="4024"/>
  <c r="G106" i="4024" s="1"/>
  <c r="H106" i="4024" s="1"/>
  <c r="I106" i="4024" s="1"/>
  <c r="J106" i="4024" s="1"/>
  <c r="K106" i="4024" s="1"/>
  <c r="L106" i="4024" s="1"/>
  <c r="M106" i="4024" s="1"/>
  <c r="N106" i="4024" s="1"/>
  <c r="O106" i="4024" s="1"/>
  <c r="P106" i="4024" s="1"/>
  <c r="Q106" i="4024" s="1"/>
  <c r="R106" i="4024" s="1"/>
  <c r="S106" i="4024" s="1"/>
  <c r="T106" i="4024" s="1"/>
  <c r="U106" i="4024" s="1"/>
  <c r="V106" i="4024" s="1"/>
  <c r="W106" i="4024" s="1"/>
  <c r="X106" i="4024" s="1"/>
  <c r="Y106" i="4024" s="1"/>
  <c r="Z106" i="4024" s="1"/>
  <c r="AA106" i="4024" s="1"/>
  <c r="AB106" i="4024" s="1"/>
  <c r="AC106" i="4024" s="1"/>
  <c r="AD106" i="4024" s="1"/>
  <c r="AE106" i="4024" s="1"/>
  <c r="AF106" i="4024" s="1"/>
  <c r="AG106" i="4024" s="1"/>
  <c r="AH106" i="4024" s="1"/>
  <c r="AI106" i="4024" s="1"/>
  <c r="AJ106" i="4024" s="1"/>
  <c r="AK106" i="4024" s="1"/>
  <c r="AL106" i="4024" s="1"/>
  <c r="AM106" i="4024" s="1"/>
  <c r="AN106" i="4024" s="1"/>
  <c r="AO106" i="4024" s="1"/>
  <c r="AP106" i="4024" s="1"/>
  <c r="AQ106" i="4024" s="1"/>
  <c r="AR106" i="4024" s="1"/>
  <c r="AA131" i="4024"/>
  <c r="AM131" i="4024"/>
  <c r="AB131" i="4024"/>
  <c r="AN131" i="4024"/>
  <c r="AD131" i="4024"/>
  <c r="AP131" i="4024"/>
  <c r="AB137" i="4024"/>
  <c r="AN137" i="4024"/>
  <c r="AF131" i="4024"/>
  <c r="AR131" i="4024"/>
  <c r="AG131" i="4024"/>
  <c r="AE137" i="4024"/>
  <c r="AQ137" i="4024"/>
  <c r="AF131" i="4023"/>
  <c r="AR131" i="4023"/>
  <c r="AD137" i="4023"/>
  <c r="AP137" i="4023"/>
  <c r="AI131" i="4023"/>
  <c r="U137" i="4023"/>
  <c r="AG137" i="4023"/>
  <c r="Y131" i="4023"/>
  <c r="AK131" i="4023"/>
  <c r="AR115" i="4023"/>
  <c r="AR118" i="4023" s="1"/>
  <c r="AR126" i="4023" s="1"/>
  <c r="Z131" i="4023"/>
  <c r="AL131" i="4023"/>
  <c r="X137" i="4023"/>
  <c r="AJ137" i="4023"/>
  <c r="Z137" i="4023"/>
  <c r="AL137" i="4023"/>
  <c r="AJ137" i="4022"/>
  <c r="AK137" i="4022"/>
  <c r="AN137" i="4022"/>
  <c r="AJ131" i="4022"/>
  <c r="Y131" i="4022"/>
  <c r="AK131" i="4022"/>
  <c r="U137" i="4022"/>
  <c r="AG137" i="4022"/>
  <c r="W137" i="4021"/>
  <c r="AI137" i="4021"/>
  <c r="E102" i="4021"/>
  <c r="Z137" i="4021"/>
  <c r="AL137" i="4021"/>
  <c r="D26" i="4021"/>
  <c r="D42" i="4021"/>
  <c r="V137" i="4021"/>
  <c r="AH137" i="4021"/>
  <c r="Z131" i="4021"/>
  <c r="AL131" i="4021"/>
  <c r="AC131" i="4021"/>
  <c r="AO131" i="4021"/>
  <c r="AA137" i="4021"/>
  <c r="AM137" i="4021"/>
  <c r="AD137" i="4021"/>
  <c r="AP137" i="4021"/>
  <c r="AH131" i="4021"/>
  <c r="D39" i="4021"/>
  <c r="AI131" i="4021"/>
  <c r="T137" i="4021"/>
  <c r="AF137" i="4021"/>
  <c r="AR137" i="4021"/>
  <c r="U137" i="4021"/>
  <c r="AG137" i="4021"/>
  <c r="T122" i="4021"/>
  <c r="Y137" i="4021"/>
  <c r="AK137" i="4021"/>
  <c r="AB137" i="4021"/>
  <c r="AN137" i="4021"/>
  <c r="D28" i="4021"/>
  <c r="AF131" i="4021"/>
  <c r="AR131" i="4021"/>
  <c r="AG131" i="4021"/>
  <c r="D28" i="4020"/>
  <c r="W137" i="4020"/>
  <c r="AI137" i="4020"/>
  <c r="D42" i="4020"/>
  <c r="AB131" i="4020"/>
  <c r="AN131" i="4020"/>
  <c r="AD131" i="4020"/>
  <c r="AP131" i="4020"/>
  <c r="AE131" i="4020"/>
  <c r="AQ131" i="4020"/>
  <c r="D26" i="4020"/>
  <c r="AG131" i="4020"/>
  <c r="T137" i="4020"/>
  <c r="AF137" i="4020"/>
  <c r="AR137" i="4020"/>
  <c r="D39" i="4018"/>
  <c r="T137" i="4018"/>
  <c r="AF137" i="4018"/>
  <c r="AR137" i="4018"/>
  <c r="W137" i="4018"/>
  <c r="AI137" i="4018"/>
  <c r="AB137" i="4018"/>
  <c r="AN137" i="4018"/>
  <c r="AD131" i="4018"/>
  <c r="AP131" i="4018"/>
  <c r="D42" i="4018"/>
  <c r="AA131" i="4018"/>
  <c r="AM131" i="4018"/>
  <c r="X137" i="4018"/>
  <c r="AJ137" i="4018"/>
  <c r="Y137" i="4018"/>
  <c r="AK137" i="4018"/>
  <c r="Z137" i="4018"/>
  <c r="AL137" i="4018"/>
  <c r="AQ131" i="4018"/>
  <c r="D26" i="4018"/>
  <c r="AC137" i="4018"/>
  <c r="AO137" i="4018"/>
  <c r="D28" i="4018"/>
  <c r="AH131" i="4018"/>
  <c r="AE137" i="4018"/>
  <c r="AQ137" i="4018"/>
  <c r="U137" i="4018"/>
  <c r="AG137" i="4018"/>
  <c r="V137" i="4018"/>
  <c r="AH137" i="4018"/>
  <c r="Z131" i="4019"/>
  <c r="AL131" i="4019"/>
  <c r="Y137" i="4019"/>
  <c r="Z137" i="4019"/>
  <c r="AL137" i="4019"/>
  <c r="AB137" i="4019"/>
  <c r="AN137" i="4019"/>
  <c r="AF131" i="4019"/>
  <c r="AR131" i="4019"/>
  <c r="AG131" i="4019"/>
  <c r="D28" i="4019"/>
  <c r="D42" i="4019"/>
  <c r="X124" i="4019"/>
  <c r="AK137" i="4019"/>
  <c r="AC131" i="4019"/>
  <c r="AO131" i="4019"/>
  <c r="AD131" i="4019"/>
  <c r="AP131" i="4019"/>
  <c r="D26" i="4019"/>
  <c r="AC137" i="4019"/>
  <c r="AO137" i="4019"/>
  <c r="D39" i="4019"/>
  <c r="V137" i="4019"/>
  <c r="AH137" i="4019"/>
  <c r="AB131" i="4028"/>
  <c r="AK131" i="4028"/>
  <c r="U137" i="4020"/>
  <c r="X137" i="4020"/>
  <c r="AA137" i="4020"/>
  <c r="AD137" i="4020"/>
  <c r="AG137" i="4020"/>
  <c r="AJ137" i="4020"/>
  <c r="AM137" i="4020"/>
  <c r="AP137" i="4020"/>
  <c r="T137" i="4024"/>
  <c r="W137" i="4024"/>
  <c r="Z137" i="4024"/>
  <c r="AC137" i="4024"/>
  <c r="AF137" i="4024"/>
  <c r="AI137" i="4024"/>
  <c r="AL137" i="4024"/>
  <c r="AO137" i="4024"/>
  <c r="AR137" i="4024"/>
  <c r="V137" i="4027"/>
  <c r="Y137" i="4027"/>
  <c r="AB137" i="4027"/>
  <c r="AE137" i="4027"/>
  <c r="AH137" i="4027"/>
  <c r="AK137" i="4027"/>
  <c r="AN137" i="4027"/>
  <c r="AQ137" i="4027"/>
  <c r="U137" i="4029"/>
  <c r="X137" i="4029"/>
  <c r="AA137" i="4029"/>
  <c r="AD137" i="4029"/>
  <c r="AG137" i="4029"/>
  <c r="AJ137" i="4029"/>
  <c r="AM137" i="4029"/>
  <c r="AP137" i="4029"/>
  <c r="U137" i="4032"/>
  <c r="X137" i="4032"/>
  <c r="AA137" i="4032"/>
  <c r="AD137" i="4032"/>
  <c r="AG137" i="4032"/>
  <c r="AJ137" i="4032"/>
  <c r="AM137" i="4032"/>
  <c r="AP137" i="4032"/>
  <c r="U137" i="4033"/>
  <c r="AA137" i="4034"/>
  <c r="AG137" i="4034"/>
  <c r="AJ137" i="4034"/>
  <c r="AP137" i="4034"/>
  <c r="Y137" i="4035"/>
  <c r="AH137" i="4035"/>
  <c r="AQ137" i="4035"/>
  <c r="L134" i="4036"/>
  <c r="F134" i="4036"/>
  <c r="D113" i="4036"/>
  <c r="D146" i="4036" s="1"/>
  <c r="C157" i="4018"/>
  <c r="Q134" i="4018"/>
  <c r="N134" i="4018"/>
  <c r="K134" i="4018"/>
  <c r="H134" i="4018"/>
  <c r="E134" i="4018"/>
  <c r="S134" i="4018"/>
  <c r="P134" i="4018"/>
  <c r="M134" i="4018"/>
  <c r="J134" i="4018"/>
  <c r="G134" i="4018"/>
  <c r="D113" i="4018"/>
  <c r="D146" i="4018" s="1"/>
  <c r="C158" i="4018"/>
  <c r="R134" i="4018"/>
  <c r="O134" i="4018"/>
  <c r="L134" i="4018"/>
  <c r="I134" i="4018"/>
  <c r="F134" i="4018"/>
  <c r="C157" i="4020"/>
  <c r="Q134" i="4020"/>
  <c r="N134" i="4020"/>
  <c r="K134" i="4020"/>
  <c r="H134" i="4020"/>
  <c r="E134" i="4020"/>
  <c r="S134" i="4020"/>
  <c r="P134" i="4020"/>
  <c r="M134" i="4020"/>
  <c r="J134" i="4020"/>
  <c r="G134" i="4020"/>
  <c r="D113" i="4020"/>
  <c r="D146" i="4020" s="1"/>
  <c r="C158" i="4020"/>
  <c r="R134" i="4020"/>
  <c r="O134" i="4020"/>
  <c r="L134" i="4020"/>
  <c r="I134" i="4020"/>
  <c r="F134" i="4020"/>
  <c r="AM118" i="4022"/>
  <c r="AM128" i="4022" s="1"/>
  <c r="C157" i="4019"/>
  <c r="Q134" i="4019"/>
  <c r="N134" i="4019"/>
  <c r="K134" i="4019"/>
  <c r="H134" i="4019"/>
  <c r="E134" i="4019"/>
  <c r="S134" i="4019"/>
  <c r="P134" i="4019"/>
  <c r="M134" i="4019"/>
  <c r="J134" i="4019"/>
  <c r="G134" i="4019"/>
  <c r="D113" i="4019"/>
  <c r="D146" i="4019" s="1"/>
  <c r="C158" i="4019"/>
  <c r="R134" i="4019"/>
  <c r="O134" i="4019"/>
  <c r="L134" i="4019"/>
  <c r="I134" i="4019"/>
  <c r="F134" i="4019"/>
  <c r="AC115" i="4020"/>
  <c r="AC118" i="4020" s="1"/>
  <c r="AC126" i="4020" s="1"/>
  <c r="AL115" i="4020"/>
  <c r="AL118" i="4020" s="1"/>
  <c r="AL126" i="4020" s="1"/>
  <c r="U122" i="4020"/>
  <c r="X122" i="4020"/>
  <c r="U122" i="4021"/>
  <c r="X122" i="4021"/>
  <c r="I134" i="4021"/>
  <c r="M134" i="4021"/>
  <c r="S134" i="4021"/>
  <c r="F115" i="4022"/>
  <c r="O115" i="4022"/>
  <c r="X115" i="4022"/>
  <c r="X118" i="4022" s="1"/>
  <c r="AG115" i="4022"/>
  <c r="AP115" i="4022"/>
  <c r="S134" i="4023"/>
  <c r="P134" i="4023"/>
  <c r="M134" i="4023"/>
  <c r="J134" i="4023"/>
  <c r="G134" i="4023"/>
  <c r="D113" i="4023"/>
  <c r="D146" i="4023" s="1"/>
  <c r="C158" i="4023"/>
  <c r="R134" i="4023"/>
  <c r="O134" i="4023"/>
  <c r="L134" i="4023"/>
  <c r="I134" i="4023"/>
  <c r="F134" i="4023"/>
  <c r="C157" i="4023"/>
  <c r="Q134" i="4023"/>
  <c r="N134" i="4023"/>
  <c r="K134" i="4023"/>
  <c r="H134" i="4023"/>
  <c r="E134" i="4023"/>
  <c r="AP118" i="4024"/>
  <c r="AP126" i="4024" s="1"/>
  <c r="AP118" i="4025"/>
  <c r="AP126" i="4025" s="1"/>
  <c r="D21" i="4018"/>
  <c r="AQ115" i="4018"/>
  <c r="D40" i="4018"/>
  <c r="F106" i="4018"/>
  <c r="G106" i="4018" s="1"/>
  <c r="H106" i="4018" s="1"/>
  <c r="I106" i="4018" s="1"/>
  <c r="J106" i="4018" s="1"/>
  <c r="K106" i="4018" s="1"/>
  <c r="L106" i="4018" s="1"/>
  <c r="M106" i="4018" s="1"/>
  <c r="N106" i="4018" s="1"/>
  <c r="O106" i="4018" s="1"/>
  <c r="P106" i="4018" s="1"/>
  <c r="Q106" i="4018" s="1"/>
  <c r="R106" i="4018" s="1"/>
  <c r="S106" i="4018" s="1"/>
  <c r="T106" i="4018" s="1"/>
  <c r="U106" i="4018" s="1"/>
  <c r="V106" i="4018" s="1"/>
  <c r="W106" i="4018" s="1"/>
  <c r="X106" i="4018" s="1"/>
  <c r="Y106" i="4018" s="1"/>
  <c r="Z106" i="4018" s="1"/>
  <c r="AA106" i="4018" s="1"/>
  <c r="AB106" i="4018" s="1"/>
  <c r="AC106" i="4018" s="1"/>
  <c r="AD106" i="4018" s="1"/>
  <c r="AE106" i="4018" s="1"/>
  <c r="AF106" i="4018" s="1"/>
  <c r="AG106" i="4018" s="1"/>
  <c r="AH106" i="4018" s="1"/>
  <c r="AI106" i="4018" s="1"/>
  <c r="AJ106" i="4018" s="1"/>
  <c r="AK106" i="4018" s="1"/>
  <c r="AL106" i="4018" s="1"/>
  <c r="AM106" i="4018" s="1"/>
  <c r="AN106" i="4018" s="1"/>
  <c r="AO106" i="4018" s="1"/>
  <c r="AP106" i="4018" s="1"/>
  <c r="AQ106" i="4018" s="1"/>
  <c r="AR106" i="4018" s="1"/>
  <c r="G124" i="4018"/>
  <c r="J124" i="4018"/>
  <c r="M124" i="4018"/>
  <c r="P124" i="4018"/>
  <c r="V122" i="4018"/>
  <c r="D21" i="4019"/>
  <c r="K115" i="4019"/>
  <c r="D40" i="4019"/>
  <c r="F106" i="4019"/>
  <c r="G106" i="4019" s="1"/>
  <c r="H106" i="4019" s="1"/>
  <c r="I106" i="4019" s="1"/>
  <c r="J106" i="4019" s="1"/>
  <c r="K106" i="4019" s="1"/>
  <c r="L106" i="4019" s="1"/>
  <c r="M106" i="4019" s="1"/>
  <c r="N106" i="4019" s="1"/>
  <c r="O106" i="4019" s="1"/>
  <c r="P106" i="4019" s="1"/>
  <c r="Q106" i="4019" s="1"/>
  <c r="R106" i="4019" s="1"/>
  <c r="S106" i="4019" s="1"/>
  <c r="T106" i="4019" s="1"/>
  <c r="U106" i="4019" s="1"/>
  <c r="V106" i="4019" s="1"/>
  <c r="W106" i="4019" s="1"/>
  <c r="X106" i="4019" s="1"/>
  <c r="Y106" i="4019" s="1"/>
  <c r="Z106" i="4019" s="1"/>
  <c r="AA106" i="4019" s="1"/>
  <c r="AB106" i="4019" s="1"/>
  <c r="AC106" i="4019" s="1"/>
  <c r="AD106" i="4019" s="1"/>
  <c r="AE106" i="4019" s="1"/>
  <c r="AF106" i="4019" s="1"/>
  <c r="AG106" i="4019" s="1"/>
  <c r="AH106" i="4019" s="1"/>
  <c r="AI106" i="4019" s="1"/>
  <c r="AJ106" i="4019" s="1"/>
  <c r="AK106" i="4019" s="1"/>
  <c r="AL106" i="4019" s="1"/>
  <c r="AM106" i="4019" s="1"/>
  <c r="AN106" i="4019" s="1"/>
  <c r="AO106" i="4019" s="1"/>
  <c r="AP106" i="4019" s="1"/>
  <c r="AQ106" i="4019" s="1"/>
  <c r="AR106" i="4019" s="1"/>
  <c r="S124" i="4019"/>
  <c r="V124" i="4019"/>
  <c r="V122" i="4019"/>
  <c r="D21" i="4020"/>
  <c r="AQ115" i="4020"/>
  <c r="D40" i="4020"/>
  <c r="F106" i="4020"/>
  <c r="G106" i="4020" s="1"/>
  <c r="H106" i="4020" s="1"/>
  <c r="I106" i="4020" s="1"/>
  <c r="J106" i="4020" s="1"/>
  <c r="K106" i="4020" s="1"/>
  <c r="L106" i="4020" s="1"/>
  <c r="M106" i="4020" s="1"/>
  <c r="N106" i="4020" s="1"/>
  <c r="O106" i="4020" s="1"/>
  <c r="P106" i="4020" s="1"/>
  <c r="Q106" i="4020" s="1"/>
  <c r="R106" i="4020" s="1"/>
  <c r="S106" i="4020" s="1"/>
  <c r="T106" i="4020" s="1"/>
  <c r="U106" i="4020" s="1"/>
  <c r="V106" i="4020" s="1"/>
  <c r="W106" i="4020" s="1"/>
  <c r="X106" i="4020" s="1"/>
  <c r="Y106" i="4020" s="1"/>
  <c r="Z106" i="4020" s="1"/>
  <c r="AA106" i="4020" s="1"/>
  <c r="AB106" i="4020" s="1"/>
  <c r="AC106" i="4020" s="1"/>
  <c r="AD106" i="4020" s="1"/>
  <c r="AE106" i="4020" s="1"/>
  <c r="AF106" i="4020" s="1"/>
  <c r="AG106" i="4020" s="1"/>
  <c r="AH106" i="4020" s="1"/>
  <c r="AI106" i="4020" s="1"/>
  <c r="AJ106" i="4020" s="1"/>
  <c r="AK106" i="4020" s="1"/>
  <c r="AL106" i="4020" s="1"/>
  <c r="AM106" i="4020" s="1"/>
  <c r="AN106" i="4020" s="1"/>
  <c r="AO106" i="4020" s="1"/>
  <c r="AP106" i="4020" s="1"/>
  <c r="AQ106" i="4020" s="1"/>
  <c r="AR106" i="4020" s="1"/>
  <c r="G124" i="4020"/>
  <c r="J124" i="4020"/>
  <c r="P124" i="4020"/>
  <c r="S124" i="4020"/>
  <c r="V124" i="4020"/>
  <c r="V122" i="4020"/>
  <c r="D21" i="4021"/>
  <c r="W115" i="4021"/>
  <c r="W118" i="4021" s="1"/>
  <c r="W120" i="4021" s="1"/>
  <c r="D40" i="4021"/>
  <c r="J124" i="4021"/>
  <c r="M124" i="4021"/>
  <c r="S124" i="4021"/>
  <c r="V124" i="4021"/>
  <c r="D113" i="4021"/>
  <c r="D146" i="4021" s="1"/>
  <c r="AG115" i="4021"/>
  <c r="AG118" i="4021" s="1"/>
  <c r="AG128" i="4021" s="1"/>
  <c r="V122" i="4021"/>
  <c r="F134" i="4021"/>
  <c r="J134" i="4021"/>
  <c r="D42" i="4022"/>
  <c r="D39" i="4022"/>
  <c r="D26" i="4022"/>
  <c r="D28" i="4022"/>
  <c r="D21" i="4022"/>
  <c r="AR115" i="4022"/>
  <c r="AR118" i="4022" s="1"/>
  <c r="AR126" i="4022" s="1"/>
  <c r="D40" i="4022"/>
  <c r="U122" i="4022"/>
  <c r="U124" i="4022"/>
  <c r="X122" i="4022"/>
  <c r="X124" i="4022"/>
  <c r="I115" i="4022"/>
  <c r="R115" i="4022"/>
  <c r="AA115" i="4022"/>
  <c r="AJ115" i="4022"/>
  <c r="AP118" i="4023"/>
  <c r="AP126" i="4023" s="1"/>
  <c r="T124" i="4019"/>
  <c r="W124" i="4019"/>
  <c r="Y115" i="4019"/>
  <c r="AH115" i="4019"/>
  <c r="T124" i="4020"/>
  <c r="W124" i="4020"/>
  <c r="G115" i="4020"/>
  <c r="Y115" i="4020"/>
  <c r="AB115" i="4020"/>
  <c r="C158" i="4021"/>
  <c r="R134" i="4021"/>
  <c r="C157" i="4021"/>
  <c r="Q134" i="4021"/>
  <c r="N134" i="4021"/>
  <c r="K134" i="4021"/>
  <c r="H134" i="4021"/>
  <c r="E134" i="4021"/>
  <c r="G134" i="4021"/>
  <c r="L134" i="4021"/>
  <c r="P134" i="4021"/>
  <c r="S134" i="4022"/>
  <c r="P134" i="4022"/>
  <c r="M134" i="4022"/>
  <c r="J134" i="4022"/>
  <c r="G134" i="4022"/>
  <c r="C158" i="4022"/>
  <c r="R134" i="4022"/>
  <c r="O134" i="4022"/>
  <c r="L134" i="4022"/>
  <c r="I134" i="4022"/>
  <c r="F134" i="4022"/>
  <c r="C157" i="4022"/>
  <c r="Q134" i="4022"/>
  <c r="N134" i="4022"/>
  <c r="K134" i="4022"/>
  <c r="H134" i="4022"/>
  <c r="E134" i="4022"/>
  <c r="L115" i="4022"/>
  <c r="U115" i="4022"/>
  <c r="U118" i="4022" s="1"/>
  <c r="AD115" i="4022"/>
  <c r="S134" i="4024"/>
  <c r="P134" i="4024"/>
  <c r="M134" i="4024"/>
  <c r="J134" i="4024"/>
  <c r="G134" i="4024"/>
  <c r="D113" i="4024"/>
  <c r="D146" i="4024" s="1"/>
  <c r="C158" i="4024"/>
  <c r="R134" i="4024"/>
  <c r="O134" i="4024"/>
  <c r="L134" i="4024"/>
  <c r="I134" i="4024"/>
  <c r="F134" i="4024"/>
  <c r="C157" i="4024"/>
  <c r="Q134" i="4024"/>
  <c r="N134" i="4024"/>
  <c r="K134" i="4024"/>
  <c r="H134" i="4024"/>
  <c r="E134" i="4024"/>
  <c r="S134" i="4025"/>
  <c r="P134" i="4025"/>
  <c r="M134" i="4025"/>
  <c r="J134" i="4025"/>
  <c r="G134" i="4025"/>
  <c r="C157" i="4025"/>
  <c r="Q134" i="4025"/>
  <c r="N134" i="4025"/>
  <c r="K134" i="4025"/>
  <c r="H134" i="4025"/>
  <c r="E134" i="4025"/>
  <c r="C158" i="4025"/>
  <c r="L134" i="4025"/>
  <c r="D113" i="4025"/>
  <c r="D146" i="4025" s="1"/>
  <c r="R134" i="4025"/>
  <c r="I134" i="4025"/>
  <c r="O134" i="4025"/>
  <c r="F134" i="4025"/>
  <c r="G115" i="4022"/>
  <c r="G118" i="4022" s="1"/>
  <c r="G145" i="4022" s="1"/>
  <c r="J115" i="4022"/>
  <c r="J118" i="4022" s="1"/>
  <c r="J145" i="4022" s="1"/>
  <c r="M115" i="4022"/>
  <c r="M118" i="4022" s="1"/>
  <c r="M145" i="4022" s="1"/>
  <c r="P115" i="4022"/>
  <c r="P118" i="4022" s="1"/>
  <c r="P145" i="4022" s="1"/>
  <c r="S115" i="4022"/>
  <c r="S118" i="4022" s="1"/>
  <c r="S145" i="4022" s="1"/>
  <c r="V115" i="4022"/>
  <c r="V118" i="4022" s="1"/>
  <c r="Y115" i="4022"/>
  <c r="Y118" i="4022" s="1"/>
  <c r="Y126" i="4022" s="1"/>
  <c r="AB115" i="4022"/>
  <c r="AB118" i="4022" s="1"/>
  <c r="AB126" i="4022" s="1"/>
  <c r="AE115" i="4022"/>
  <c r="AE118" i="4022" s="1"/>
  <c r="AE126" i="4022" s="1"/>
  <c r="AH115" i="4022"/>
  <c r="AH118" i="4022" s="1"/>
  <c r="AH128" i="4022" s="1"/>
  <c r="AK115" i="4022"/>
  <c r="AK118" i="4022" s="1"/>
  <c r="AK128" i="4022" s="1"/>
  <c r="AN115" i="4022"/>
  <c r="AN118" i="4022" s="1"/>
  <c r="AN128" i="4022" s="1"/>
  <c r="AQ115" i="4022"/>
  <c r="AQ118" i="4022" s="1"/>
  <c r="AQ128" i="4022" s="1"/>
  <c r="T122" i="4022"/>
  <c r="W122" i="4022"/>
  <c r="D28" i="4023"/>
  <c r="G115" i="4023"/>
  <c r="G118" i="4023" s="1"/>
  <c r="G145" i="4023" s="1"/>
  <c r="J115" i="4023"/>
  <c r="J118" i="4023" s="1"/>
  <c r="J145" i="4023" s="1"/>
  <c r="M115" i="4023"/>
  <c r="M118" i="4023" s="1"/>
  <c r="M145" i="4023" s="1"/>
  <c r="P115" i="4023"/>
  <c r="P118" i="4023" s="1"/>
  <c r="P145" i="4023" s="1"/>
  <c r="S115" i="4023"/>
  <c r="S118" i="4023" s="1"/>
  <c r="S145" i="4023" s="1"/>
  <c r="V115" i="4023"/>
  <c r="V118" i="4023" s="1"/>
  <c r="V120" i="4023" s="1"/>
  <c r="Y115" i="4023"/>
  <c r="Y118" i="4023" s="1"/>
  <c r="Y128" i="4023" s="1"/>
  <c r="AB115" i="4023"/>
  <c r="AB118" i="4023" s="1"/>
  <c r="AB126" i="4023" s="1"/>
  <c r="AE115" i="4023"/>
  <c r="AE118" i="4023" s="1"/>
  <c r="AE126" i="4023" s="1"/>
  <c r="AH115" i="4023"/>
  <c r="AH118" i="4023" s="1"/>
  <c r="AH126" i="4023" s="1"/>
  <c r="AK115" i="4023"/>
  <c r="AK118" i="4023" s="1"/>
  <c r="AK128" i="4023" s="1"/>
  <c r="AN115" i="4023"/>
  <c r="AN118" i="4023" s="1"/>
  <c r="AN126" i="4023" s="1"/>
  <c r="AQ115" i="4023"/>
  <c r="AQ118" i="4023" s="1"/>
  <c r="AQ126" i="4023" s="1"/>
  <c r="T122" i="4023"/>
  <c r="W122" i="4023"/>
  <c r="D28" i="4024"/>
  <c r="H124" i="4024"/>
  <c r="K124" i="4024"/>
  <c r="Q124" i="4024"/>
  <c r="T124" i="4024"/>
  <c r="G115" i="4024"/>
  <c r="G118" i="4024" s="1"/>
  <c r="G145" i="4024" s="1"/>
  <c r="J115" i="4024"/>
  <c r="J118" i="4024" s="1"/>
  <c r="J145" i="4024" s="1"/>
  <c r="M115" i="4024"/>
  <c r="M118" i="4024" s="1"/>
  <c r="M145" i="4024" s="1"/>
  <c r="P115" i="4024"/>
  <c r="P118" i="4024" s="1"/>
  <c r="P145" i="4024" s="1"/>
  <c r="S115" i="4024"/>
  <c r="S118" i="4024" s="1"/>
  <c r="S145" i="4024" s="1"/>
  <c r="V115" i="4024"/>
  <c r="V118" i="4024" s="1"/>
  <c r="Y115" i="4024"/>
  <c r="Y118" i="4024" s="1"/>
  <c r="Y126" i="4024" s="1"/>
  <c r="AB115" i="4024"/>
  <c r="AB118" i="4024" s="1"/>
  <c r="AB126" i="4024" s="1"/>
  <c r="AE115" i="4024"/>
  <c r="AE118" i="4024" s="1"/>
  <c r="AE126" i="4024" s="1"/>
  <c r="AH115" i="4024"/>
  <c r="AH118" i="4024" s="1"/>
  <c r="AH128" i="4024" s="1"/>
  <c r="AK115" i="4024"/>
  <c r="AK118" i="4024" s="1"/>
  <c r="AK126" i="4024" s="1"/>
  <c r="AN115" i="4024"/>
  <c r="AN118" i="4024" s="1"/>
  <c r="AN128" i="4024" s="1"/>
  <c r="AQ115" i="4024"/>
  <c r="AQ118" i="4024" s="1"/>
  <c r="AQ128" i="4024" s="1"/>
  <c r="T122" i="4024"/>
  <c r="W122" i="4024"/>
  <c r="D28" i="4025"/>
  <c r="G115" i="4025"/>
  <c r="G118" i="4025" s="1"/>
  <c r="G145" i="4025" s="1"/>
  <c r="J115" i="4025"/>
  <c r="J118" i="4025" s="1"/>
  <c r="J120" i="4025" s="1"/>
  <c r="M115" i="4025"/>
  <c r="M118" i="4025" s="1"/>
  <c r="M120" i="4025" s="1"/>
  <c r="P115" i="4025"/>
  <c r="P118" i="4025" s="1"/>
  <c r="P145" i="4025" s="1"/>
  <c r="S115" i="4025"/>
  <c r="S118" i="4025" s="1"/>
  <c r="S145" i="4025" s="1"/>
  <c r="V115" i="4025"/>
  <c r="V118" i="4025" s="1"/>
  <c r="Y115" i="4025"/>
  <c r="Y118" i="4025" s="1"/>
  <c r="Y126" i="4025" s="1"/>
  <c r="AB115" i="4025"/>
  <c r="AE115" i="4025"/>
  <c r="AE118" i="4025" s="1"/>
  <c r="AE126" i="4025" s="1"/>
  <c r="AH115" i="4025"/>
  <c r="AH118" i="4025" s="1"/>
  <c r="AH128" i="4025" s="1"/>
  <c r="AK115" i="4025"/>
  <c r="AN115" i="4025"/>
  <c r="AN118" i="4025" s="1"/>
  <c r="AQ115" i="4025"/>
  <c r="AQ118" i="4025" s="1"/>
  <c r="AQ126" i="4025" s="1"/>
  <c r="T122" i="4025"/>
  <c r="W122" i="4025"/>
  <c r="E115" i="4022"/>
  <c r="H115" i="4022"/>
  <c r="H118" i="4022" s="1"/>
  <c r="H145" i="4022" s="1"/>
  <c r="K115" i="4022"/>
  <c r="K118" i="4022" s="1"/>
  <c r="K145" i="4022" s="1"/>
  <c r="N115" i="4022"/>
  <c r="N118" i="4022" s="1"/>
  <c r="N145" i="4022" s="1"/>
  <c r="Q115" i="4022"/>
  <c r="Q118" i="4022" s="1"/>
  <c r="Q145" i="4022" s="1"/>
  <c r="T115" i="4022"/>
  <c r="T118" i="4022" s="1"/>
  <c r="T120" i="4022" s="1"/>
  <c r="W115" i="4022"/>
  <c r="W118" i="4022" s="1"/>
  <c r="Z115" i="4022"/>
  <c r="Z118" i="4022" s="1"/>
  <c r="Z128" i="4022" s="1"/>
  <c r="AC115" i="4022"/>
  <c r="AC118" i="4022" s="1"/>
  <c r="AC128" i="4022" s="1"/>
  <c r="AF115" i="4022"/>
  <c r="AF118" i="4022" s="1"/>
  <c r="AF126" i="4022" s="1"/>
  <c r="AI115" i="4022"/>
  <c r="AI118" i="4022" s="1"/>
  <c r="AI126" i="4022" s="1"/>
  <c r="AL115" i="4022"/>
  <c r="AL118" i="4022" s="1"/>
  <c r="AL128" i="4022" s="1"/>
  <c r="AO115" i="4022"/>
  <c r="AO118" i="4022" s="1"/>
  <c r="AO126" i="4022" s="1"/>
  <c r="D26" i="4023"/>
  <c r="D39" i="4023"/>
  <c r="D42" i="4023"/>
  <c r="F124" i="4023"/>
  <c r="I124" i="4023"/>
  <c r="R124" i="4023"/>
  <c r="U124" i="4023"/>
  <c r="X124" i="4023"/>
  <c r="E115" i="4023"/>
  <c r="H115" i="4023"/>
  <c r="H118" i="4023" s="1"/>
  <c r="H145" i="4023" s="1"/>
  <c r="K115" i="4023"/>
  <c r="K118" i="4023" s="1"/>
  <c r="K145" i="4023" s="1"/>
  <c r="N115" i="4023"/>
  <c r="N118" i="4023" s="1"/>
  <c r="N145" i="4023" s="1"/>
  <c r="Q115" i="4023"/>
  <c r="Q118" i="4023" s="1"/>
  <c r="Q145" i="4023" s="1"/>
  <c r="T115" i="4023"/>
  <c r="T118" i="4023" s="1"/>
  <c r="W115" i="4023"/>
  <c r="W118" i="4023" s="1"/>
  <c r="W120" i="4023" s="1"/>
  <c r="Z115" i="4023"/>
  <c r="Z118" i="4023" s="1"/>
  <c r="Z128" i="4023" s="1"/>
  <c r="AC115" i="4023"/>
  <c r="AC118" i="4023" s="1"/>
  <c r="AC126" i="4023" s="1"/>
  <c r="AF115" i="4023"/>
  <c r="AF118" i="4023" s="1"/>
  <c r="AF128" i="4023" s="1"/>
  <c r="AI115" i="4023"/>
  <c r="AI118" i="4023" s="1"/>
  <c r="AI128" i="4023" s="1"/>
  <c r="AL115" i="4023"/>
  <c r="AL118" i="4023" s="1"/>
  <c r="AL126" i="4023" s="1"/>
  <c r="AO115" i="4023"/>
  <c r="AO118" i="4023" s="1"/>
  <c r="AO126" i="4023" s="1"/>
  <c r="U122" i="4023"/>
  <c r="X122" i="4023"/>
  <c r="D26" i="4024"/>
  <c r="D39" i="4024"/>
  <c r="D42" i="4024"/>
  <c r="F124" i="4024"/>
  <c r="L124" i="4024"/>
  <c r="X124" i="4024"/>
  <c r="E115" i="4024"/>
  <c r="H115" i="4024"/>
  <c r="H118" i="4024" s="1"/>
  <c r="H145" i="4024" s="1"/>
  <c r="K115" i="4024"/>
  <c r="K118" i="4024" s="1"/>
  <c r="K145" i="4024" s="1"/>
  <c r="N115" i="4024"/>
  <c r="N118" i="4024" s="1"/>
  <c r="N145" i="4024" s="1"/>
  <c r="Q115" i="4024"/>
  <c r="Q118" i="4024" s="1"/>
  <c r="Q145" i="4024" s="1"/>
  <c r="T115" i="4024"/>
  <c r="T118" i="4024" s="1"/>
  <c r="T120" i="4024" s="1"/>
  <c r="W115" i="4024"/>
  <c r="W118" i="4024" s="1"/>
  <c r="Z115" i="4024"/>
  <c r="Z118" i="4024" s="1"/>
  <c r="Z126" i="4024" s="1"/>
  <c r="AC115" i="4024"/>
  <c r="AC118" i="4024" s="1"/>
  <c r="AC126" i="4024" s="1"/>
  <c r="AF115" i="4024"/>
  <c r="AF118" i="4024" s="1"/>
  <c r="AF126" i="4024" s="1"/>
  <c r="AI115" i="4024"/>
  <c r="AI118" i="4024" s="1"/>
  <c r="AI126" i="4024" s="1"/>
  <c r="AL115" i="4024"/>
  <c r="AL118" i="4024" s="1"/>
  <c r="AL126" i="4024" s="1"/>
  <c r="AO115" i="4024"/>
  <c r="AO118" i="4024" s="1"/>
  <c r="AO126" i="4024" s="1"/>
  <c r="U122" i="4024"/>
  <c r="X122" i="4024"/>
  <c r="D26" i="4025"/>
  <c r="D39" i="4025"/>
  <c r="D42" i="4025"/>
  <c r="F124" i="4025"/>
  <c r="L124" i="4025"/>
  <c r="O124" i="4025"/>
  <c r="R124" i="4025"/>
  <c r="U124" i="4025"/>
  <c r="X124" i="4025"/>
  <c r="E115" i="4025"/>
  <c r="H115" i="4025"/>
  <c r="H118" i="4025" s="1"/>
  <c r="H120" i="4025" s="1"/>
  <c r="K115" i="4025"/>
  <c r="K118" i="4025" s="1"/>
  <c r="K145" i="4025" s="1"/>
  <c r="N115" i="4025"/>
  <c r="Q115" i="4025"/>
  <c r="Q118" i="4025" s="1"/>
  <c r="Q120" i="4025" s="1"/>
  <c r="T115" i="4025"/>
  <c r="T118" i="4025" s="1"/>
  <c r="W115" i="4025"/>
  <c r="W118" i="4025" s="1"/>
  <c r="W120" i="4025" s="1"/>
  <c r="Z115" i="4025"/>
  <c r="Z118" i="4025" s="1"/>
  <c r="Z128" i="4025" s="1"/>
  <c r="AC115" i="4025"/>
  <c r="AC118" i="4025" s="1"/>
  <c r="AC128" i="4025" s="1"/>
  <c r="AF115" i="4025"/>
  <c r="AF118" i="4025" s="1"/>
  <c r="AF126" i="4025" s="1"/>
  <c r="AI115" i="4025"/>
  <c r="AI118" i="4025" s="1"/>
  <c r="AL115" i="4025"/>
  <c r="AL118" i="4025" s="1"/>
  <c r="AL126" i="4025" s="1"/>
  <c r="AO115" i="4025"/>
  <c r="AO118" i="4025" s="1"/>
  <c r="AO128" i="4025" s="1"/>
  <c r="U122" i="4025"/>
  <c r="X122" i="4025"/>
  <c r="F106" i="4026"/>
  <c r="G106" i="4026" s="1"/>
  <c r="H106" i="4026" s="1"/>
  <c r="I106" i="4026" s="1"/>
  <c r="J106" i="4026" s="1"/>
  <c r="K106" i="4026" s="1"/>
  <c r="L106" i="4026" s="1"/>
  <c r="M106" i="4026" s="1"/>
  <c r="N106" i="4026" s="1"/>
  <c r="O106" i="4026" s="1"/>
  <c r="P106" i="4026" s="1"/>
  <c r="Q106" i="4026" s="1"/>
  <c r="R106" i="4026" s="1"/>
  <c r="S106" i="4026" s="1"/>
  <c r="T106" i="4026" s="1"/>
  <c r="U106" i="4026" s="1"/>
  <c r="V106" i="4026" s="1"/>
  <c r="W106" i="4026" s="1"/>
  <c r="X106" i="4026" s="1"/>
  <c r="Y106" i="4026" s="1"/>
  <c r="Z106" i="4026" s="1"/>
  <c r="AA106" i="4026" s="1"/>
  <c r="AB106" i="4026" s="1"/>
  <c r="AC106" i="4026" s="1"/>
  <c r="AD106" i="4026" s="1"/>
  <c r="AE106" i="4026" s="1"/>
  <c r="AF106" i="4026" s="1"/>
  <c r="AG106" i="4026" s="1"/>
  <c r="AH106" i="4026" s="1"/>
  <c r="AI106" i="4026" s="1"/>
  <c r="AJ106" i="4026" s="1"/>
  <c r="AK106" i="4026" s="1"/>
  <c r="AL106" i="4026" s="1"/>
  <c r="AM106" i="4026" s="1"/>
  <c r="AN106" i="4026" s="1"/>
  <c r="AO106" i="4026" s="1"/>
  <c r="AP106" i="4026" s="1"/>
  <c r="AQ106" i="4026" s="1"/>
  <c r="AR106" i="4026" s="1"/>
  <c r="E102" i="4026"/>
  <c r="T122" i="4026"/>
  <c r="W122" i="4026"/>
  <c r="D21" i="4023"/>
  <c r="D40" i="4023"/>
  <c r="F115" i="4023"/>
  <c r="I115" i="4023"/>
  <c r="L115" i="4023"/>
  <c r="O115" i="4023"/>
  <c r="R115" i="4023"/>
  <c r="U115" i="4023"/>
  <c r="U118" i="4023" s="1"/>
  <c r="U120" i="4023" s="1"/>
  <c r="X115" i="4023"/>
  <c r="X118" i="4023" s="1"/>
  <c r="AA115" i="4023"/>
  <c r="AD115" i="4023"/>
  <c r="AG115" i="4023"/>
  <c r="AJ115" i="4023"/>
  <c r="AM115" i="4023"/>
  <c r="D21" i="4024"/>
  <c r="D40" i="4024"/>
  <c r="F115" i="4024"/>
  <c r="I115" i="4024"/>
  <c r="L115" i="4024"/>
  <c r="O115" i="4024"/>
  <c r="R115" i="4024"/>
  <c r="U115" i="4024"/>
  <c r="U118" i="4024" s="1"/>
  <c r="X115" i="4024"/>
  <c r="X118" i="4024" s="1"/>
  <c r="X120" i="4024" s="1"/>
  <c r="AA115" i="4024"/>
  <c r="AD115" i="4024"/>
  <c r="AG115" i="4024"/>
  <c r="AJ115" i="4024"/>
  <c r="AM115" i="4024"/>
  <c r="D21" i="4025"/>
  <c r="D40" i="4025"/>
  <c r="F115" i="4025"/>
  <c r="I115" i="4025"/>
  <c r="L115" i="4025"/>
  <c r="O115" i="4025"/>
  <c r="R115" i="4025"/>
  <c r="U115" i="4025"/>
  <c r="U118" i="4025" s="1"/>
  <c r="X115" i="4025"/>
  <c r="X118" i="4025" s="1"/>
  <c r="X120" i="4025" s="1"/>
  <c r="AA115" i="4025"/>
  <c r="AD115" i="4025"/>
  <c r="AG115" i="4025"/>
  <c r="AJ115" i="4025"/>
  <c r="AM115" i="4025"/>
  <c r="C34" i="4026"/>
  <c r="N115" i="4026" s="1"/>
  <c r="S134" i="4026"/>
  <c r="P134" i="4026"/>
  <c r="M134" i="4026"/>
  <c r="J134" i="4026"/>
  <c r="G134" i="4026"/>
  <c r="D113" i="4026"/>
  <c r="D146" i="4026" s="1"/>
  <c r="C158" i="4026"/>
  <c r="R134" i="4026"/>
  <c r="O134" i="4026"/>
  <c r="L134" i="4026"/>
  <c r="I134" i="4026"/>
  <c r="F134" i="4026"/>
  <c r="C157" i="4026"/>
  <c r="Q134" i="4026"/>
  <c r="N134" i="4026"/>
  <c r="K134" i="4026"/>
  <c r="H134" i="4026"/>
  <c r="E134" i="4026"/>
  <c r="S134" i="4027"/>
  <c r="P134" i="4027"/>
  <c r="M134" i="4027"/>
  <c r="J134" i="4027"/>
  <c r="G134" i="4027"/>
  <c r="D113" i="4027"/>
  <c r="D146" i="4027" s="1"/>
  <c r="C158" i="4027"/>
  <c r="R134" i="4027"/>
  <c r="O134" i="4027"/>
  <c r="L134" i="4027"/>
  <c r="I134" i="4027"/>
  <c r="F134" i="4027"/>
  <c r="C157" i="4027"/>
  <c r="Q134" i="4027"/>
  <c r="N134" i="4027"/>
  <c r="K134" i="4027"/>
  <c r="H134" i="4027"/>
  <c r="E134" i="4027"/>
  <c r="D28" i="4027"/>
  <c r="E102" i="4027"/>
  <c r="H124" i="4027"/>
  <c r="K124" i="4027"/>
  <c r="N124" i="4027"/>
  <c r="Q124" i="4027"/>
  <c r="T124" i="4027"/>
  <c r="T122" i="4027"/>
  <c r="W122" i="4027"/>
  <c r="D28" i="4028"/>
  <c r="C158" i="4028"/>
  <c r="R134" i="4028"/>
  <c r="O134" i="4028"/>
  <c r="L134" i="4028"/>
  <c r="I134" i="4028"/>
  <c r="F134" i="4028"/>
  <c r="E102" i="4028"/>
  <c r="H124" i="4028"/>
  <c r="K124" i="4028"/>
  <c r="Q124" i="4028"/>
  <c r="T122" i="4028"/>
  <c r="W122" i="4028"/>
  <c r="E134" i="4028"/>
  <c r="J134" i="4028"/>
  <c r="N134" i="4028"/>
  <c r="S134" i="4028"/>
  <c r="C158" i="4029"/>
  <c r="R134" i="4029"/>
  <c r="O134" i="4029"/>
  <c r="L134" i="4029"/>
  <c r="I134" i="4029"/>
  <c r="F134" i="4029"/>
  <c r="C157" i="4029"/>
  <c r="Q134" i="4029"/>
  <c r="N134" i="4029"/>
  <c r="K134" i="4029"/>
  <c r="H134" i="4029"/>
  <c r="E134" i="4029"/>
  <c r="S134" i="4029"/>
  <c r="P134" i="4029"/>
  <c r="M134" i="4029"/>
  <c r="J134" i="4029"/>
  <c r="G134" i="4029"/>
  <c r="D113" i="4029"/>
  <c r="D146" i="4029" s="1"/>
  <c r="G134" i="4028"/>
  <c r="K134" i="4028"/>
  <c r="P134" i="4028"/>
  <c r="J124" i="4029"/>
  <c r="M124" i="4029"/>
  <c r="P124" i="4029"/>
  <c r="S124" i="4029"/>
  <c r="V122" i="4029"/>
  <c r="D21" i="4026"/>
  <c r="D40" i="4026"/>
  <c r="D21" i="4027"/>
  <c r="C34" i="4027"/>
  <c r="J115" i="4027" s="1"/>
  <c r="D40" i="4027"/>
  <c r="D21" i="4028"/>
  <c r="C34" i="4028"/>
  <c r="J115" i="4028" s="1"/>
  <c r="D40" i="4028"/>
  <c r="D113" i="4028"/>
  <c r="D146" i="4028" s="1"/>
  <c r="H134" i="4028"/>
  <c r="M134" i="4028"/>
  <c r="Q134" i="4028"/>
  <c r="C157" i="4028"/>
  <c r="D21" i="4029"/>
  <c r="C34" i="4029"/>
  <c r="I115" i="4029" s="1"/>
  <c r="D40" i="4029"/>
  <c r="D43" i="4029"/>
  <c r="D21" i="4030"/>
  <c r="C34" i="4030"/>
  <c r="L115" i="4030" s="1"/>
  <c r="D40" i="4030"/>
  <c r="D43" i="4030"/>
  <c r="G124" i="4030"/>
  <c r="J124" i="4030"/>
  <c r="P124" i="4030"/>
  <c r="S124" i="4030"/>
  <c r="AA131" i="4030"/>
  <c r="AD131" i="4030"/>
  <c r="AG131" i="4030"/>
  <c r="AJ131" i="4030"/>
  <c r="AM131" i="4030"/>
  <c r="AP131" i="4030"/>
  <c r="V122" i="4030"/>
  <c r="C158" i="4030"/>
  <c r="R134" i="4030"/>
  <c r="O134" i="4030"/>
  <c r="L134" i="4030"/>
  <c r="I134" i="4030"/>
  <c r="F134" i="4030"/>
  <c r="C157" i="4030"/>
  <c r="Q134" i="4030"/>
  <c r="N134" i="4030"/>
  <c r="K134" i="4030"/>
  <c r="H134" i="4030"/>
  <c r="E134" i="4030"/>
  <c r="S134" i="4030"/>
  <c r="P134" i="4030"/>
  <c r="M134" i="4030"/>
  <c r="J134" i="4030"/>
  <c r="G134" i="4030"/>
  <c r="T122" i="4030"/>
  <c r="W122" i="4030"/>
  <c r="C158" i="4031"/>
  <c r="R134" i="4031"/>
  <c r="O134" i="4031"/>
  <c r="L134" i="4031"/>
  <c r="I134" i="4031"/>
  <c r="F134" i="4031"/>
  <c r="C157" i="4031"/>
  <c r="Q134" i="4031"/>
  <c r="N134" i="4031"/>
  <c r="K134" i="4031"/>
  <c r="H134" i="4031"/>
  <c r="E134" i="4031"/>
  <c r="S134" i="4031"/>
  <c r="P134" i="4031"/>
  <c r="M134" i="4031"/>
  <c r="J134" i="4031"/>
  <c r="G134" i="4031"/>
  <c r="D113" i="4031"/>
  <c r="D146" i="4031" s="1"/>
  <c r="D26" i="4029"/>
  <c r="D39" i="4029"/>
  <c r="D26" i="4030"/>
  <c r="D39" i="4030"/>
  <c r="D21" i="4031"/>
  <c r="C34" i="4031"/>
  <c r="F115" i="4031" s="1"/>
  <c r="D40" i="4031"/>
  <c r="D43" i="4031"/>
  <c r="F106" i="4031"/>
  <c r="G106" i="4031" s="1"/>
  <c r="H106" i="4031" s="1"/>
  <c r="I106" i="4031" s="1"/>
  <c r="J106" i="4031" s="1"/>
  <c r="K106" i="4031" s="1"/>
  <c r="L106" i="4031" s="1"/>
  <c r="M106" i="4031" s="1"/>
  <c r="N106" i="4031" s="1"/>
  <c r="O106" i="4031" s="1"/>
  <c r="P106" i="4031" s="1"/>
  <c r="Q106" i="4031" s="1"/>
  <c r="R106" i="4031" s="1"/>
  <c r="S106" i="4031" s="1"/>
  <c r="T106" i="4031" s="1"/>
  <c r="U106" i="4031" s="1"/>
  <c r="V106" i="4031" s="1"/>
  <c r="W106" i="4031" s="1"/>
  <c r="X106" i="4031" s="1"/>
  <c r="Y106" i="4031" s="1"/>
  <c r="Z106" i="4031" s="1"/>
  <c r="AA106" i="4031" s="1"/>
  <c r="AB106" i="4031" s="1"/>
  <c r="AC106" i="4031" s="1"/>
  <c r="AD106" i="4031" s="1"/>
  <c r="AE106" i="4031" s="1"/>
  <c r="AF106" i="4031" s="1"/>
  <c r="AG106" i="4031" s="1"/>
  <c r="AH106" i="4031" s="1"/>
  <c r="AI106" i="4031" s="1"/>
  <c r="AJ106" i="4031" s="1"/>
  <c r="AK106" i="4031" s="1"/>
  <c r="AL106" i="4031" s="1"/>
  <c r="AM106" i="4031" s="1"/>
  <c r="AN106" i="4031" s="1"/>
  <c r="AO106" i="4031" s="1"/>
  <c r="AP106" i="4031" s="1"/>
  <c r="AQ106" i="4031" s="1"/>
  <c r="AR106" i="4031" s="1"/>
  <c r="J124" i="4031"/>
  <c r="M124" i="4031"/>
  <c r="P124" i="4031"/>
  <c r="S124" i="4031"/>
  <c r="V124" i="4031"/>
  <c r="V122" i="4031"/>
  <c r="D21" i="4032"/>
  <c r="C34" i="4032"/>
  <c r="AR115" i="4032" s="1"/>
  <c r="D40" i="4032"/>
  <c r="F106" i="4032"/>
  <c r="G106" i="4032" s="1"/>
  <c r="H106" i="4032" s="1"/>
  <c r="I106" i="4032" s="1"/>
  <c r="J106" i="4032" s="1"/>
  <c r="K106" i="4032" s="1"/>
  <c r="L106" i="4032" s="1"/>
  <c r="M106" i="4032" s="1"/>
  <c r="N106" i="4032" s="1"/>
  <c r="O106" i="4032" s="1"/>
  <c r="P106" i="4032" s="1"/>
  <c r="Q106" i="4032" s="1"/>
  <c r="R106" i="4032" s="1"/>
  <c r="S106" i="4032" s="1"/>
  <c r="T106" i="4032" s="1"/>
  <c r="U106" i="4032" s="1"/>
  <c r="V106" i="4032" s="1"/>
  <c r="W106" i="4032" s="1"/>
  <c r="X106" i="4032" s="1"/>
  <c r="Y106" i="4032" s="1"/>
  <c r="Z106" i="4032" s="1"/>
  <c r="AA106" i="4032" s="1"/>
  <c r="AB106" i="4032" s="1"/>
  <c r="AC106" i="4032" s="1"/>
  <c r="AD106" i="4032" s="1"/>
  <c r="AE106" i="4032" s="1"/>
  <c r="AF106" i="4032" s="1"/>
  <c r="AG106" i="4032" s="1"/>
  <c r="AH106" i="4032" s="1"/>
  <c r="AI106" i="4032" s="1"/>
  <c r="AJ106" i="4032" s="1"/>
  <c r="AK106" i="4032" s="1"/>
  <c r="AL106" i="4032" s="1"/>
  <c r="AM106" i="4032" s="1"/>
  <c r="AN106" i="4032" s="1"/>
  <c r="AO106" i="4032" s="1"/>
  <c r="AP106" i="4032" s="1"/>
  <c r="AQ106" i="4032" s="1"/>
  <c r="AR106" i="4032" s="1"/>
  <c r="M124" i="4032"/>
  <c r="P124" i="4032"/>
  <c r="V124" i="4032"/>
  <c r="D113" i="4032"/>
  <c r="D146" i="4032" s="1"/>
  <c r="AA131" i="4032"/>
  <c r="AD131" i="4032"/>
  <c r="AG131" i="4032"/>
  <c r="AJ131" i="4032"/>
  <c r="AM131" i="4032"/>
  <c r="AP131" i="4032"/>
  <c r="V122" i="4032"/>
  <c r="F134" i="4032"/>
  <c r="K134" i="4032"/>
  <c r="H124" i="4031"/>
  <c r="Q124" i="4031"/>
  <c r="T122" i="4031"/>
  <c r="W122" i="4031"/>
  <c r="C158" i="4032"/>
  <c r="C157" i="4032"/>
  <c r="S134" i="4032"/>
  <c r="P134" i="4032"/>
  <c r="M134" i="4032"/>
  <c r="J134" i="4032"/>
  <c r="G134" i="4032"/>
  <c r="H124" i="4032"/>
  <c r="K124" i="4032"/>
  <c r="N124" i="4032"/>
  <c r="T124" i="4032"/>
  <c r="W124" i="4032"/>
  <c r="T122" i="4032"/>
  <c r="W122" i="4032"/>
  <c r="H134" i="4032"/>
  <c r="L134" i="4032"/>
  <c r="Q134" i="4032"/>
  <c r="E134" i="4032"/>
  <c r="I134" i="4032"/>
  <c r="N134" i="4032"/>
  <c r="R134" i="4032"/>
  <c r="D21" i="4033"/>
  <c r="C34" i="4033"/>
  <c r="I115" i="4033" s="1"/>
  <c r="D40" i="4033"/>
  <c r="J124" i="4033"/>
  <c r="M124" i="4033"/>
  <c r="S124" i="4033"/>
  <c r="V124" i="4033"/>
  <c r="D113" i="4033"/>
  <c r="D146" i="4033" s="1"/>
  <c r="V122" i="4033"/>
  <c r="G134" i="4033"/>
  <c r="J134" i="4033"/>
  <c r="M134" i="4033"/>
  <c r="P134" i="4033"/>
  <c r="X137" i="4033"/>
  <c r="AA137" i="4033"/>
  <c r="AD137" i="4033"/>
  <c r="AG137" i="4033"/>
  <c r="AJ137" i="4033"/>
  <c r="AM137" i="4033"/>
  <c r="AP137" i="4033"/>
  <c r="C158" i="4033"/>
  <c r="C157" i="4033"/>
  <c r="T122" i="4033"/>
  <c r="W122" i="4033"/>
  <c r="E134" i="4033"/>
  <c r="H134" i="4033"/>
  <c r="K134" i="4033"/>
  <c r="N134" i="4033"/>
  <c r="Q134" i="4033"/>
  <c r="AP118" i="4034"/>
  <c r="AP126" i="4034" s="1"/>
  <c r="F134" i="4033"/>
  <c r="I134" i="4033"/>
  <c r="L134" i="4033"/>
  <c r="O134" i="4033"/>
  <c r="R134" i="4033"/>
  <c r="D28" i="4034"/>
  <c r="C157" i="4034"/>
  <c r="C158" i="4034"/>
  <c r="R134" i="4034"/>
  <c r="O134" i="4034"/>
  <c r="L134" i="4034"/>
  <c r="I134" i="4034"/>
  <c r="F134" i="4034"/>
  <c r="G115" i="4034"/>
  <c r="G118" i="4034" s="1"/>
  <c r="G145" i="4034" s="1"/>
  <c r="J115" i="4034"/>
  <c r="J118" i="4034" s="1"/>
  <c r="J145" i="4034" s="1"/>
  <c r="M115" i="4034"/>
  <c r="M118" i="4034" s="1"/>
  <c r="M145" i="4034" s="1"/>
  <c r="P115" i="4034"/>
  <c r="P118" i="4034" s="1"/>
  <c r="P145" i="4034" s="1"/>
  <c r="S115" i="4034"/>
  <c r="S118" i="4034" s="1"/>
  <c r="S145" i="4034" s="1"/>
  <c r="V115" i="4034"/>
  <c r="V118" i="4034" s="1"/>
  <c r="Y115" i="4034"/>
  <c r="Y118" i="4034" s="1"/>
  <c r="Y128" i="4034" s="1"/>
  <c r="AB115" i="4034"/>
  <c r="AB118" i="4034" s="1"/>
  <c r="AB128" i="4034" s="1"/>
  <c r="AE115" i="4034"/>
  <c r="AE118" i="4034" s="1"/>
  <c r="AE128" i="4034" s="1"/>
  <c r="AH115" i="4034"/>
  <c r="AH118" i="4034" s="1"/>
  <c r="AH126" i="4034" s="1"/>
  <c r="AK115" i="4034"/>
  <c r="AK118" i="4034" s="1"/>
  <c r="AK126" i="4034" s="1"/>
  <c r="AN115" i="4034"/>
  <c r="AN118" i="4034" s="1"/>
  <c r="AN126" i="4034" s="1"/>
  <c r="AQ115" i="4034"/>
  <c r="AQ118" i="4034" s="1"/>
  <c r="AQ126" i="4034" s="1"/>
  <c r="T122" i="4034"/>
  <c r="W122" i="4034"/>
  <c r="G134" i="4034"/>
  <c r="K134" i="4034"/>
  <c r="P134" i="4034"/>
  <c r="U137" i="4034"/>
  <c r="AD137" i="4034"/>
  <c r="AM137" i="4034"/>
  <c r="D26" i="4034"/>
  <c r="D39" i="4034"/>
  <c r="D42" i="4034"/>
  <c r="F124" i="4034"/>
  <c r="L124" i="4034"/>
  <c r="O124" i="4034"/>
  <c r="U124" i="4034"/>
  <c r="X124" i="4034"/>
  <c r="E115" i="4034"/>
  <c r="H115" i="4034"/>
  <c r="H118" i="4034" s="1"/>
  <c r="H145" i="4034" s="1"/>
  <c r="K115" i="4034"/>
  <c r="K118" i="4034" s="1"/>
  <c r="K145" i="4034" s="1"/>
  <c r="N115" i="4034"/>
  <c r="N118" i="4034" s="1"/>
  <c r="N145" i="4034" s="1"/>
  <c r="Q115" i="4034"/>
  <c r="Q118" i="4034" s="1"/>
  <c r="Q145" i="4034" s="1"/>
  <c r="T115" i="4034"/>
  <c r="T118" i="4034" s="1"/>
  <c r="T120" i="4034" s="1"/>
  <c r="W115" i="4034"/>
  <c r="W118" i="4034" s="1"/>
  <c r="W120" i="4034" s="1"/>
  <c r="Z115" i="4034"/>
  <c r="Z118" i="4034" s="1"/>
  <c r="Z126" i="4034" s="1"/>
  <c r="AC115" i="4034"/>
  <c r="AC118" i="4034" s="1"/>
  <c r="AC126" i="4034" s="1"/>
  <c r="AF115" i="4034"/>
  <c r="AF118" i="4034" s="1"/>
  <c r="AF128" i="4034" s="1"/>
  <c r="AI115" i="4034"/>
  <c r="AI118" i="4034" s="1"/>
  <c r="AI126" i="4034" s="1"/>
  <c r="AL115" i="4034"/>
  <c r="AL118" i="4034" s="1"/>
  <c r="AL128" i="4034" s="1"/>
  <c r="AO115" i="4034"/>
  <c r="AO118" i="4034" s="1"/>
  <c r="AO126" i="4034" s="1"/>
  <c r="U122" i="4034"/>
  <c r="X122" i="4034"/>
  <c r="H134" i="4034"/>
  <c r="M134" i="4034"/>
  <c r="Q134" i="4034"/>
  <c r="D28" i="4035"/>
  <c r="D43" i="4035"/>
  <c r="D40" i="4035"/>
  <c r="D26" i="4035"/>
  <c r="D42" i="4035"/>
  <c r="D39" i="4035"/>
  <c r="D21" i="4035"/>
  <c r="C157" i="4035"/>
  <c r="C158" i="4035"/>
  <c r="Q134" i="4035"/>
  <c r="N134" i="4035"/>
  <c r="K134" i="4035"/>
  <c r="H134" i="4035"/>
  <c r="E134" i="4035"/>
  <c r="S134" i="4035"/>
  <c r="P134" i="4035"/>
  <c r="M134" i="4035"/>
  <c r="J134" i="4035"/>
  <c r="G134" i="4035"/>
  <c r="D113" i="4035"/>
  <c r="D146" i="4035" s="1"/>
  <c r="R134" i="4035"/>
  <c r="O134" i="4035"/>
  <c r="L134" i="4035"/>
  <c r="I134" i="4035"/>
  <c r="F134" i="4035"/>
  <c r="D21" i="4034"/>
  <c r="D40" i="4034"/>
  <c r="F115" i="4034"/>
  <c r="I115" i="4034"/>
  <c r="L115" i="4034"/>
  <c r="O115" i="4034"/>
  <c r="R115" i="4034"/>
  <c r="U115" i="4034"/>
  <c r="U118" i="4034" s="1"/>
  <c r="X115" i="4034"/>
  <c r="X118" i="4034" s="1"/>
  <c r="AA115" i="4034"/>
  <c r="AD115" i="4034"/>
  <c r="AG115" i="4034"/>
  <c r="AJ115" i="4034"/>
  <c r="AM115" i="4034"/>
  <c r="E134" i="4034"/>
  <c r="J134" i="4034"/>
  <c r="N134" i="4034"/>
  <c r="S134" i="4034"/>
  <c r="T137" i="4034"/>
  <c r="W137" i="4034"/>
  <c r="Z137" i="4034"/>
  <c r="AC137" i="4034"/>
  <c r="AF137" i="4034"/>
  <c r="AI137" i="4034"/>
  <c r="AL137" i="4034"/>
  <c r="AO137" i="4034"/>
  <c r="AR137" i="4034"/>
  <c r="AQ115" i="4035"/>
  <c r="AQ118" i="4035" s="1"/>
  <c r="AQ126" i="4035" s="1"/>
  <c r="AF115" i="4035"/>
  <c r="E102" i="4035"/>
  <c r="F106" i="4035"/>
  <c r="G106" i="4035" s="1"/>
  <c r="H106" i="4035" s="1"/>
  <c r="I106" i="4035" s="1"/>
  <c r="J106" i="4035" s="1"/>
  <c r="K106" i="4035" s="1"/>
  <c r="L106" i="4035" s="1"/>
  <c r="M106" i="4035" s="1"/>
  <c r="N106" i="4035" s="1"/>
  <c r="O106" i="4035" s="1"/>
  <c r="P106" i="4035" s="1"/>
  <c r="Q106" i="4035" s="1"/>
  <c r="R106" i="4035" s="1"/>
  <c r="S106" i="4035" s="1"/>
  <c r="T106" i="4035" s="1"/>
  <c r="U106" i="4035" s="1"/>
  <c r="V106" i="4035" s="1"/>
  <c r="W106" i="4035" s="1"/>
  <c r="X106" i="4035" s="1"/>
  <c r="Y106" i="4035" s="1"/>
  <c r="Z106" i="4035" s="1"/>
  <c r="AA106" i="4035" s="1"/>
  <c r="AB106" i="4035" s="1"/>
  <c r="AC106" i="4035" s="1"/>
  <c r="AD106" i="4035" s="1"/>
  <c r="AE106" i="4035" s="1"/>
  <c r="AF106" i="4035" s="1"/>
  <c r="AG106" i="4035" s="1"/>
  <c r="AH106" i="4035" s="1"/>
  <c r="AI106" i="4035" s="1"/>
  <c r="AJ106" i="4035" s="1"/>
  <c r="AK106" i="4035" s="1"/>
  <c r="AL106" i="4035" s="1"/>
  <c r="AM106" i="4035" s="1"/>
  <c r="AN106" i="4035" s="1"/>
  <c r="AO106" i="4035" s="1"/>
  <c r="AP106" i="4035" s="1"/>
  <c r="AQ106" i="4035" s="1"/>
  <c r="AR106" i="4035" s="1"/>
  <c r="T122" i="4035"/>
  <c r="T124" i="4035"/>
  <c r="W122" i="4035"/>
  <c r="W124" i="4035"/>
  <c r="AL118" i="4036"/>
  <c r="AL128" i="4036" s="1"/>
  <c r="T115" i="4036"/>
  <c r="E102" i="4036"/>
  <c r="F106" i="4036"/>
  <c r="G106" i="4036" s="1"/>
  <c r="H106" i="4036" s="1"/>
  <c r="I106" i="4036" s="1"/>
  <c r="J106" i="4036" s="1"/>
  <c r="K106" i="4036" s="1"/>
  <c r="L106" i="4036" s="1"/>
  <c r="M106" i="4036" s="1"/>
  <c r="N106" i="4036" s="1"/>
  <c r="O106" i="4036" s="1"/>
  <c r="P106" i="4036" s="1"/>
  <c r="Q106" i="4036" s="1"/>
  <c r="R106" i="4036" s="1"/>
  <c r="S106" i="4036" s="1"/>
  <c r="T106" i="4036" s="1"/>
  <c r="U106" i="4036" s="1"/>
  <c r="V106" i="4036" s="1"/>
  <c r="W106" i="4036" s="1"/>
  <c r="X106" i="4036" s="1"/>
  <c r="Y106" i="4036" s="1"/>
  <c r="Z106" i="4036" s="1"/>
  <c r="AA106" i="4036" s="1"/>
  <c r="AB106" i="4036" s="1"/>
  <c r="AC106" i="4036" s="1"/>
  <c r="AD106" i="4036" s="1"/>
  <c r="AE106" i="4036" s="1"/>
  <c r="AF106" i="4036" s="1"/>
  <c r="AG106" i="4036" s="1"/>
  <c r="AH106" i="4036" s="1"/>
  <c r="AI106" i="4036" s="1"/>
  <c r="AJ106" i="4036" s="1"/>
  <c r="AK106" i="4036" s="1"/>
  <c r="AL106" i="4036" s="1"/>
  <c r="AM106" i="4036" s="1"/>
  <c r="AN106" i="4036" s="1"/>
  <c r="AO106" i="4036" s="1"/>
  <c r="AP106" i="4036" s="1"/>
  <c r="AQ106" i="4036" s="1"/>
  <c r="AR106" i="4036" s="1"/>
  <c r="AC115" i="4036"/>
  <c r="AO115" i="4036"/>
  <c r="K115" i="4036"/>
  <c r="D21" i="4036"/>
  <c r="E115" i="4036"/>
  <c r="N115" i="4036"/>
  <c r="W115" i="4036"/>
  <c r="AF115" i="4036"/>
  <c r="AQ115" i="4036"/>
  <c r="AQ118" i="4036" s="1"/>
  <c r="AQ128" i="4036" s="1"/>
  <c r="AN115" i="4036"/>
  <c r="AN118" i="4036" s="1"/>
  <c r="AN128" i="4036" s="1"/>
  <c r="AK115" i="4036"/>
  <c r="AK118" i="4036" s="1"/>
  <c r="AK126" i="4036" s="1"/>
  <c r="AH115" i="4036"/>
  <c r="AH118" i="4036" s="1"/>
  <c r="AH126" i="4036" s="1"/>
  <c r="AE115" i="4036"/>
  <c r="AE118" i="4036" s="1"/>
  <c r="AE128" i="4036" s="1"/>
  <c r="AB115" i="4036"/>
  <c r="AB118" i="4036" s="1"/>
  <c r="AB128" i="4036" s="1"/>
  <c r="Y115" i="4036"/>
  <c r="Y118" i="4036" s="1"/>
  <c r="Y128" i="4036" s="1"/>
  <c r="V115" i="4036"/>
  <c r="V118" i="4036" s="1"/>
  <c r="V126" i="4036" s="1"/>
  <c r="S115" i="4036"/>
  <c r="S118" i="4036" s="1"/>
  <c r="S145" i="4036" s="1"/>
  <c r="P115" i="4036"/>
  <c r="P118" i="4036" s="1"/>
  <c r="P145" i="4036" s="1"/>
  <c r="M115" i="4036"/>
  <c r="M118" i="4036" s="1"/>
  <c r="M145" i="4036" s="1"/>
  <c r="J115" i="4036"/>
  <c r="J118" i="4036" s="1"/>
  <c r="J145" i="4036" s="1"/>
  <c r="G115" i="4036"/>
  <c r="G118" i="4036" s="1"/>
  <c r="G145" i="4036" s="1"/>
  <c r="AP115" i="4036"/>
  <c r="AP118" i="4036" s="1"/>
  <c r="AP126" i="4036" s="1"/>
  <c r="AM115" i="4036"/>
  <c r="AM118" i="4036" s="1"/>
  <c r="AM126" i="4036" s="1"/>
  <c r="AJ115" i="4036"/>
  <c r="AJ118" i="4036" s="1"/>
  <c r="AJ128" i="4036" s="1"/>
  <c r="AG115" i="4036"/>
  <c r="AG118" i="4036" s="1"/>
  <c r="AG128" i="4036" s="1"/>
  <c r="AD115" i="4036"/>
  <c r="AD118" i="4036" s="1"/>
  <c r="AD128" i="4036" s="1"/>
  <c r="AA115" i="4036"/>
  <c r="AA118" i="4036" s="1"/>
  <c r="AA128" i="4036" s="1"/>
  <c r="X115" i="4036"/>
  <c r="X118" i="4036" s="1"/>
  <c r="X126" i="4036" s="1"/>
  <c r="U115" i="4036"/>
  <c r="U118" i="4036" s="1"/>
  <c r="U128" i="4036" s="1"/>
  <c r="R115" i="4036"/>
  <c r="R118" i="4036" s="1"/>
  <c r="R145" i="4036" s="1"/>
  <c r="O115" i="4036"/>
  <c r="O118" i="4036" s="1"/>
  <c r="O145" i="4036" s="1"/>
  <c r="L115" i="4036"/>
  <c r="L118" i="4036" s="1"/>
  <c r="L145" i="4036" s="1"/>
  <c r="I115" i="4036"/>
  <c r="I118" i="4036" s="1"/>
  <c r="I145" i="4036" s="1"/>
  <c r="F115" i="4036"/>
  <c r="F118" i="4036" s="1"/>
  <c r="F145" i="4036" s="1"/>
  <c r="H115" i="4036"/>
  <c r="H118" i="4036" s="1"/>
  <c r="Q115" i="4036"/>
  <c r="Q118" i="4036" s="1"/>
  <c r="Q120" i="4036" s="1"/>
  <c r="Z115" i="4036"/>
  <c r="Z118" i="4036" s="1"/>
  <c r="Z126" i="4036" s="1"/>
  <c r="AI115" i="4036"/>
  <c r="AI118" i="4036" s="1"/>
  <c r="AI126" i="4036" s="1"/>
  <c r="AR115" i="4036"/>
  <c r="AR118" i="4036" s="1"/>
  <c r="AR126" i="4036" s="1"/>
  <c r="C157" i="4036"/>
  <c r="S134" i="4036"/>
  <c r="P134" i="4036"/>
  <c r="M134" i="4036"/>
  <c r="J134" i="4036"/>
  <c r="G134" i="4036"/>
  <c r="C158" i="4036"/>
  <c r="Q134" i="4036"/>
  <c r="N134" i="4036"/>
  <c r="K134" i="4036"/>
  <c r="R134" i="4036"/>
  <c r="I134" i="4036"/>
  <c r="E134" i="4036"/>
  <c r="O134" i="4036"/>
  <c r="H134" i="4036"/>
  <c r="V131" i="4036"/>
  <c r="Y131" i="4036"/>
  <c r="AE131" i="4036"/>
  <c r="AH131" i="4036"/>
  <c r="AN131" i="4036"/>
  <c r="AQ131" i="4036"/>
  <c r="G12" i="65"/>
  <c r="C170" i="4028" l="1"/>
  <c r="C170" i="4027"/>
  <c r="C170" i="4035"/>
  <c r="C170" i="4034"/>
  <c r="C170" i="4026"/>
  <c r="C170" i="4033"/>
  <c r="C170" i="4025"/>
  <c r="C170" i="4024"/>
  <c r="C170" i="4031"/>
  <c r="C170" i="4030"/>
  <c r="C170" i="4032"/>
  <c r="C170" i="4029"/>
  <c r="J5" i="149"/>
  <c r="C175" i="4023" s="1"/>
  <c r="C170" i="4023"/>
  <c r="C170" i="4019"/>
  <c r="C178" i="4019"/>
  <c r="J7" i="149"/>
  <c r="C176" i="4018" s="1"/>
  <c r="C175" i="4018" s="1"/>
  <c r="C178" i="4018"/>
  <c r="C170" i="4018"/>
  <c r="C170" i="4022"/>
  <c r="C178" i="4022"/>
  <c r="C170" i="4021"/>
  <c r="C178" i="4021"/>
  <c r="C170" i="4038"/>
  <c r="C170" i="4037"/>
  <c r="C178" i="4038"/>
  <c r="C178" i="4037"/>
  <c r="C178" i="4020"/>
  <c r="C170" i="4020"/>
  <c r="V126" i="4024"/>
  <c r="Y115" i="4033"/>
  <c r="AR128" i="4025"/>
  <c r="AR130" i="4025" s="1"/>
  <c r="AR132" i="4025" s="1"/>
  <c r="AP115" i="4033"/>
  <c r="AP118" i="4033" s="1"/>
  <c r="AP128" i="4033" s="1"/>
  <c r="Q115" i="4033"/>
  <c r="Q118" i="4033" s="1"/>
  <c r="Q145" i="4033" s="1"/>
  <c r="E115" i="4035"/>
  <c r="E118" i="4035" s="1"/>
  <c r="E120" i="4035" s="1"/>
  <c r="AI115" i="4033"/>
  <c r="AI118" i="4033" s="1"/>
  <c r="AI126" i="4033" s="1"/>
  <c r="H115" i="4033"/>
  <c r="H118" i="4033" s="1"/>
  <c r="H145" i="4033" s="1"/>
  <c r="H126" i="4036"/>
  <c r="I115" i="4035"/>
  <c r="I118" i="4035" s="1"/>
  <c r="I145" i="4035" s="1"/>
  <c r="Z115" i="4033"/>
  <c r="Z118" i="4033" s="1"/>
  <c r="Z126" i="4033" s="1"/>
  <c r="AH115" i="4033"/>
  <c r="AH118" i="4033" s="1"/>
  <c r="AR126" i="4024"/>
  <c r="T126" i="4023"/>
  <c r="O120" i="4036"/>
  <c r="AQ115" i="4033"/>
  <c r="W126" i="4022"/>
  <c r="V120" i="4022"/>
  <c r="V131" i="4022" s="1"/>
  <c r="M120" i="4022"/>
  <c r="T120" i="4023"/>
  <c r="Q120" i="4023"/>
  <c r="N120" i="4023"/>
  <c r="N131" i="4023" s="1"/>
  <c r="K120" i="4023"/>
  <c r="K131" i="4023" s="1"/>
  <c r="H120" i="4023"/>
  <c r="U120" i="4022"/>
  <c r="U131" i="4022" s="1"/>
  <c r="S120" i="4022"/>
  <c r="J120" i="4022"/>
  <c r="S120" i="4023"/>
  <c r="S131" i="4023" s="1"/>
  <c r="P120" i="4023"/>
  <c r="P131" i="4023" s="1"/>
  <c r="M120" i="4023"/>
  <c r="J120" i="4023"/>
  <c r="J131" i="4023" s="1"/>
  <c r="G120" i="4023"/>
  <c r="W120" i="4022"/>
  <c r="Q120" i="4022"/>
  <c r="Q131" i="4022" s="1"/>
  <c r="N120" i="4022"/>
  <c r="N131" i="4022" s="1"/>
  <c r="K120" i="4022"/>
  <c r="H120" i="4022"/>
  <c r="U131" i="4023"/>
  <c r="W131" i="4023"/>
  <c r="T131" i="4022"/>
  <c r="X120" i="4022"/>
  <c r="X131" i="4022" s="1"/>
  <c r="X120" i="4023"/>
  <c r="X131" i="4023" s="1"/>
  <c r="P120" i="4022"/>
  <c r="P131" i="4022" s="1"/>
  <c r="G120" i="4022"/>
  <c r="G131" i="4022" s="1"/>
  <c r="H120" i="4036"/>
  <c r="F120" i="4036"/>
  <c r="F131" i="4036" s="1"/>
  <c r="S120" i="4036"/>
  <c r="S131" i="4036" s="1"/>
  <c r="M120" i="4036"/>
  <c r="J120" i="4036"/>
  <c r="J131" i="4036" s="1"/>
  <c r="G120" i="4036"/>
  <c r="G131" i="4036" s="1"/>
  <c r="P120" i="4036"/>
  <c r="L120" i="4036"/>
  <c r="L131" i="4036" s="1"/>
  <c r="I120" i="4036"/>
  <c r="I131" i="4036" s="1"/>
  <c r="R120" i="4036"/>
  <c r="R131" i="4036" s="1"/>
  <c r="G120" i="4034"/>
  <c r="G131" i="4034" s="1"/>
  <c r="U120" i="4034"/>
  <c r="U131" i="4034" s="1"/>
  <c r="N120" i="4034"/>
  <c r="N131" i="4034" s="1"/>
  <c r="K120" i="4034"/>
  <c r="Q120" i="4034"/>
  <c r="M120" i="4034"/>
  <c r="V120" i="4034"/>
  <c r="V131" i="4034" s="1"/>
  <c r="S120" i="4034"/>
  <c r="S131" i="4034" s="1"/>
  <c r="H120" i="4034"/>
  <c r="H131" i="4034" s="1"/>
  <c r="W131" i="4034"/>
  <c r="X120" i="4034"/>
  <c r="X131" i="4034" s="1"/>
  <c r="T131" i="4034"/>
  <c r="P120" i="4034"/>
  <c r="J120" i="4034"/>
  <c r="AG115" i="4033"/>
  <c r="AG118" i="4033" s="1"/>
  <c r="AG128" i="4033" s="1"/>
  <c r="F115" i="4033"/>
  <c r="F118" i="4033" s="1"/>
  <c r="F126" i="4033" s="1"/>
  <c r="H120" i="4033"/>
  <c r="H131" i="4033" s="1"/>
  <c r="P120" i="4025"/>
  <c r="S120" i="4025"/>
  <c r="X131" i="4025"/>
  <c r="U120" i="4025"/>
  <c r="U131" i="4025" s="1"/>
  <c r="G120" i="4025"/>
  <c r="K120" i="4025"/>
  <c r="K131" i="4025" s="1"/>
  <c r="T120" i="4025"/>
  <c r="T131" i="4025" s="1"/>
  <c r="V120" i="4025"/>
  <c r="V131" i="4025" s="1"/>
  <c r="K120" i="4024"/>
  <c r="K131" i="4024" s="1"/>
  <c r="V120" i="4024"/>
  <c r="H120" i="4024"/>
  <c r="H131" i="4024" s="1"/>
  <c r="Q120" i="4024"/>
  <c r="Q131" i="4024" s="1"/>
  <c r="M120" i="4024"/>
  <c r="S120" i="4024"/>
  <c r="J120" i="4024"/>
  <c r="J131" i="4024" s="1"/>
  <c r="P120" i="4024"/>
  <c r="T131" i="4024"/>
  <c r="G120" i="4024"/>
  <c r="G131" i="4024" s="1"/>
  <c r="U120" i="4024"/>
  <c r="U131" i="4024" s="1"/>
  <c r="W120" i="4024"/>
  <c r="W131" i="4024" s="1"/>
  <c r="N120" i="4024"/>
  <c r="N131" i="4024" s="1"/>
  <c r="I142" i="4037"/>
  <c r="I144" i="4037" s="1"/>
  <c r="AG143" i="4037"/>
  <c r="R115" i="4035"/>
  <c r="R118" i="4035" s="1"/>
  <c r="R126" i="4035" s="1"/>
  <c r="X115" i="4035"/>
  <c r="X118" i="4035" s="1"/>
  <c r="Z115" i="4035"/>
  <c r="AA115" i="4035"/>
  <c r="AD115" i="4035"/>
  <c r="AD118" i="4035" s="1"/>
  <c r="AD128" i="4035" s="1"/>
  <c r="G115" i="4035"/>
  <c r="G118" i="4035" s="1"/>
  <c r="G126" i="4035" s="1"/>
  <c r="P115" i="4035"/>
  <c r="P118" i="4035" s="1"/>
  <c r="P126" i="4035" s="1"/>
  <c r="V115" i="4035"/>
  <c r="V118" i="4035" s="1"/>
  <c r="Y115" i="4035"/>
  <c r="Y118" i="4035" s="1"/>
  <c r="Y126" i="4035" s="1"/>
  <c r="AB115" i="4035"/>
  <c r="AB118" i="4035" s="1"/>
  <c r="AB126" i="4035" s="1"/>
  <c r="Z115" i="4030"/>
  <c r="Z118" i="4030" s="1"/>
  <c r="Z126" i="4030" s="1"/>
  <c r="AM115" i="4027"/>
  <c r="AM118" i="4027" s="1"/>
  <c r="AM126" i="4027" s="1"/>
  <c r="U115" i="4027"/>
  <c r="U118" i="4027" s="1"/>
  <c r="U128" i="4027" s="1"/>
  <c r="U139" i="4037"/>
  <c r="U140" i="4037" s="1"/>
  <c r="U142" i="4037" s="1"/>
  <c r="U144" i="4037" s="1"/>
  <c r="AF131" i="4018"/>
  <c r="V128" i="4023"/>
  <c r="W143" i="4037"/>
  <c r="AK143" i="4037"/>
  <c r="AN143" i="4037"/>
  <c r="AA143" i="4037"/>
  <c r="AJ142" i="4037"/>
  <c r="AJ144" i="4037" s="1"/>
  <c r="Q142" i="4037"/>
  <c r="Q144" i="4037" s="1"/>
  <c r="Q143" i="4037"/>
  <c r="O140" i="4037"/>
  <c r="E142" i="4037"/>
  <c r="E143" i="4037"/>
  <c r="M140" i="4037"/>
  <c r="J140" i="4037"/>
  <c r="P142" i="4037"/>
  <c r="P144" i="4037" s="1"/>
  <c r="P143" i="4037"/>
  <c r="F142" i="4037"/>
  <c r="F144" i="4037" s="1"/>
  <c r="F143" i="4037"/>
  <c r="L143" i="4037"/>
  <c r="L142" i="4037"/>
  <c r="L144" i="4037" s="1"/>
  <c r="N143" i="4037"/>
  <c r="N142" i="4037"/>
  <c r="N144" i="4037" s="1"/>
  <c r="H143" i="4037"/>
  <c r="H142" i="4037"/>
  <c r="H144" i="4037" s="1"/>
  <c r="Q115" i="4030"/>
  <c r="Q118" i="4030" s="1"/>
  <c r="Q126" i="4030" s="1"/>
  <c r="H115" i="4030"/>
  <c r="H118" i="4030" s="1"/>
  <c r="H128" i="4030" s="1"/>
  <c r="AG115" i="4030"/>
  <c r="AG118" i="4030" s="1"/>
  <c r="AG128" i="4030" s="1"/>
  <c r="AA115" i="4027"/>
  <c r="AA118" i="4027" s="1"/>
  <c r="AA128" i="4027" s="1"/>
  <c r="X126" i="4024"/>
  <c r="G115" i="4033"/>
  <c r="S126" i="4036"/>
  <c r="AI115" i="4030"/>
  <c r="AI118" i="4030" s="1"/>
  <c r="AI128" i="4030" s="1"/>
  <c r="X115" i="4033"/>
  <c r="X118" i="4033" s="1"/>
  <c r="K115" i="4035"/>
  <c r="AD115" i="4031"/>
  <c r="AD118" i="4031" s="1"/>
  <c r="AD126" i="4031" s="1"/>
  <c r="AC115" i="4032"/>
  <c r="AC118" i="4032" s="1"/>
  <c r="AC126" i="4032" s="1"/>
  <c r="P115" i="4033"/>
  <c r="AB115" i="4032"/>
  <c r="AB118" i="4032" s="1"/>
  <c r="AB126" i="4032" s="1"/>
  <c r="W128" i="4021"/>
  <c r="AR131" i="4018"/>
  <c r="U115" i="4035"/>
  <c r="S115" i="4035"/>
  <c r="AQ128" i="4035"/>
  <c r="AG115" i="4035"/>
  <c r="AG118" i="4035" s="1"/>
  <c r="AG128" i="4035" s="1"/>
  <c r="AE115" i="4035"/>
  <c r="AE118" i="4035" s="1"/>
  <c r="AE126" i="4035" s="1"/>
  <c r="T115" i="4035"/>
  <c r="T118" i="4035" s="1"/>
  <c r="AJ115" i="4035"/>
  <c r="AM115" i="4035"/>
  <c r="AM118" i="4035" s="1"/>
  <c r="AM126" i="4035" s="1"/>
  <c r="AK115" i="4035"/>
  <c r="AK118" i="4035" s="1"/>
  <c r="AK126" i="4035" s="1"/>
  <c r="AH115" i="4035"/>
  <c r="AI115" i="4035"/>
  <c r="AO115" i="4035"/>
  <c r="AO118" i="4035" s="1"/>
  <c r="F115" i="4035"/>
  <c r="F118" i="4035" s="1"/>
  <c r="AP115" i="4035"/>
  <c r="AP118" i="4035" s="1"/>
  <c r="AP128" i="4035" s="1"/>
  <c r="AN115" i="4035"/>
  <c r="AN118" i="4035" s="1"/>
  <c r="AN128" i="4035" s="1"/>
  <c r="Q115" i="4035"/>
  <c r="Q118" i="4035" s="1"/>
  <c r="Q120" i="4035" s="1"/>
  <c r="W115" i="4035"/>
  <c r="W118" i="4035" s="1"/>
  <c r="L115" i="4035"/>
  <c r="L118" i="4035" s="1"/>
  <c r="L120" i="4035" s="1"/>
  <c r="J115" i="4035"/>
  <c r="H115" i="4035"/>
  <c r="N115" i="4035"/>
  <c r="N118" i="4035" s="1"/>
  <c r="N120" i="4035" s="1"/>
  <c r="O115" i="4035"/>
  <c r="O118" i="4035" s="1"/>
  <c r="M115" i="4035"/>
  <c r="M118" i="4035" s="1"/>
  <c r="M120" i="4035" s="1"/>
  <c r="X115" i="4027"/>
  <c r="X118" i="4027" s="1"/>
  <c r="R115" i="4027"/>
  <c r="R118" i="4027" s="1"/>
  <c r="R120" i="4027" s="1"/>
  <c r="AR115" i="4027"/>
  <c r="AG115" i="4027"/>
  <c r="AG118" i="4027" s="1"/>
  <c r="AG126" i="4027" s="1"/>
  <c r="J115" i="4026"/>
  <c r="J118" i="4026" s="1"/>
  <c r="AP128" i="4024"/>
  <c r="AP130" i="4024" s="1"/>
  <c r="AP132" i="4024" s="1"/>
  <c r="AP139" i="4024" s="1"/>
  <c r="AP140" i="4024" s="1"/>
  <c r="AP142" i="4024" s="1"/>
  <c r="AP144" i="4024" s="1"/>
  <c r="T128" i="4024"/>
  <c r="AE126" i="4036"/>
  <c r="AJ126" i="4036"/>
  <c r="R126" i="4036"/>
  <c r="T131" i="4023"/>
  <c r="AR128" i="4023"/>
  <c r="AP128" i="4023"/>
  <c r="AP130" i="4023" s="1"/>
  <c r="AP132" i="4023" s="1"/>
  <c r="AP139" i="4023" s="1"/>
  <c r="AP140" i="4023" s="1"/>
  <c r="AP142" i="4023" s="1"/>
  <c r="AP144" i="4023" s="1"/>
  <c r="AM128" i="4036"/>
  <c r="P128" i="4036"/>
  <c r="S128" i="4036"/>
  <c r="AK128" i="4036"/>
  <c r="AC115" i="4035"/>
  <c r="AL115" i="4035"/>
  <c r="AP128" i="4034"/>
  <c r="AP130" i="4034" s="1"/>
  <c r="AP132" i="4034" s="1"/>
  <c r="AP139" i="4034" s="1"/>
  <c r="AP140" i="4034" s="1"/>
  <c r="AN128" i="4034"/>
  <c r="X128" i="4034"/>
  <c r="AR115" i="4034"/>
  <c r="O115" i="4033"/>
  <c r="O118" i="4033" s="1"/>
  <c r="O128" i="4033" s="1"/>
  <c r="R115" i="4032"/>
  <c r="R118" i="4032" s="1"/>
  <c r="R128" i="4032" s="1"/>
  <c r="AM115" i="4031"/>
  <c r="AM118" i="4031" s="1"/>
  <c r="AM128" i="4031" s="1"/>
  <c r="AO115" i="4031"/>
  <c r="AO118" i="4031" s="1"/>
  <c r="AO126" i="4031" s="1"/>
  <c r="U115" i="4031"/>
  <c r="U118" i="4031" s="1"/>
  <c r="AF115" i="4031"/>
  <c r="AF118" i="4031" s="1"/>
  <c r="AF126" i="4031" s="1"/>
  <c r="L115" i="4031"/>
  <c r="L118" i="4031" s="1"/>
  <c r="L128" i="4031" s="1"/>
  <c r="W115" i="4031"/>
  <c r="W118" i="4031" s="1"/>
  <c r="AK115" i="4031"/>
  <c r="AK118" i="4031" s="1"/>
  <c r="AK126" i="4031" s="1"/>
  <c r="AB115" i="4031"/>
  <c r="AB118" i="4031" s="1"/>
  <c r="AB126" i="4031" s="1"/>
  <c r="N115" i="4031"/>
  <c r="N118" i="4031" s="1"/>
  <c r="E115" i="4031"/>
  <c r="J115" i="4031"/>
  <c r="J118" i="4031" s="1"/>
  <c r="J126" i="4031" s="1"/>
  <c r="S115" i="4031"/>
  <c r="S118" i="4031" s="1"/>
  <c r="AP115" i="4030"/>
  <c r="AP118" i="4030" s="1"/>
  <c r="AP128" i="4030" s="1"/>
  <c r="X115" i="4030"/>
  <c r="X118" i="4030" s="1"/>
  <c r="X126" i="4030" s="1"/>
  <c r="AI115" i="4029"/>
  <c r="AI118" i="4029" s="1"/>
  <c r="AI126" i="4029" s="1"/>
  <c r="L115" i="4028"/>
  <c r="L118" i="4028" s="1"/>
  <c r="W115" i="4028"/>
  <c r="W118" i="4028" s="1"/>
  <c r="Y115" i="4028"/>
  <c r="Y118" i="4028" s="1"/>
  <c r="Y126" i="4028" s="1"/>
  <c r="O115" i="4027"/>
  <c r="O118" i="4027" s="1"/>
  <c r="O120" i="4027" s="1"/>
  <c r="I115" i="4027"/>
  <c r="I118" i="4027" s="1"/>
  <c r="AQ115" i="4027"/>
  <c r="AQ118" i="4027" s="1"/>
  <c r="AQ128" i="4027" s="1"/>
  <c r="AJ115" i="4027"/>
  <c r="AJ118" i="4027" s="1"/>
  <c r="AJ126" i="4027" s="1"/>
  <c r="AD115" i="4027"/>
  <c r="AD118" i="4027" s="1"/>
  <c r="AD128" i="4027" s="1"/>
  <c r="AI115" i="4027"/>
  <c r="AC115" i="4027"/>
  <c r="S115" i="4026"/>
  <c r="S118" i="4026" s="1"/>
  <c r="S126" i="4026" s="1"/>
  <c r="T115" i="4026"/>
  <c r="T118" i="4026" s="1"/>
  <c r="AL128" i="4024"/>
  <c r="AQ126" i="4024"/>
  <c r="G126" i="4024"/>
  <c r="AE128" i="4024"/>
  <c r="J126" i="4023"/>
  <c r="X128" i="4022"/>
  <c r="U126" i="4022"/>
  <c r="V128" i="4022"/>
  <c r="V115" i="4020"/>
  <c r="V118" i="4020" s="1"/>
  <c r="V131" i="4020" s="1"/>
  <c r="K115" i="4020"/>
  <c r="K118" i="4020" s="1"/>
  <c r="K128" i="4020" s="1"/>
  <c r="J115" i="4020"/>
  <c r="AM115" i="4020"/>
  <c r="AM118" i="4020" s="1"/>
  <c r="AM128" i="4020" s="1"/>
  <c r="U115" i="4020"/>
  <c r="U118" i="4020" s="1"/>
  <c r="U131" i="4020" s="1"/>
  <c r="O115" i="4020"/>
  <c r="AK115" i="4020"/>
  <c r="P115" i="4019"/>
  <c r="AP115" i="4019"/>
  <c r="AP118" i="4019" s="1"/>
  <c r="AP128" i="4019" s="1"/>
  <c r="G115" i="4019"/>
  <c r="G118" i="4019" s="1"/>
  <c r="AG115" i="4019"/>
  <c r="AG118" i="4019" s="1"/>
  <c r="AG126" i="4019" s="1"/>
  <c r="X115" i="4019"/>
  <c r="X118" i="4019" s="1"/>
  <c r="X131" i="4019" s="1"/>
  <c r="R115" i="4018"/>
  <c r="R118" i="4018" s="1"/>
  <c r="R128" i="4018" s="1"/>
  <c r="J115" i="4018"/>
  <c r="J118" i="4018" s="1"/>
  <c r="J120" i="4018" s="1"/>
  <c r="AB126" i="4036"/>
  <c r="AL126" i="4036"/>
  <c r="AL130" i="4036" s="1"/>
  <c r="AL132" i="4036" s="1"/>
  <c r="J126" i="4036"/>
  <c r="L126" i="4036"/>
  <c r="G126" i="4036"/>
  <c r="AQ126" i="4036"/>
  <c r="L128" i="4036"/>
  <c r="U126" i="4036"/>
  <c r="I128" i="4036"/>
  <c r="AD126" i="4036"/>
  <c r="J128" i="4036"/>
  <c r="AR128" i="4036"/>
  <c r="AK128" i="4035"/>
  <c r="Z128" i="4034"/>
  <c r="AH128" i="4034"/>
  <c r="M128" i="4034"/>
  <c r="G128" i="4034"/>
  <c r="AO128" i="4034"/>
  <c r="N128" i="4034"/>
  <c r="AF126" i="4034"/>
  <c r="AF130" i="4034" s="1"/>
  <c r="AF132" i="4034" s="1"/>
  <c r="U126" i="4034"/>
  <c r="W126" i="4034"/>
  <c r="N126" i="4034"/>
  <c r="Z115" i="4032"/>
  <c r="Z118" i="4032" s="1"/>
  <c r="Z126" i="4032" s="1"/>
  <c r="Y115" i="4032"/>
  <c r="Y118" i="4032" s="1"/>
  <c r="Y126" i="4032" s="1"/>
  <c r="L115" i="4032"/>
  <c r="W115" i="4032"/>
  <c r="W118" i="4032" s="1"/>
  <c r="W128" i="4032" s="1"/>
  <c r="V115" i="4032"/>
  <c r="V118" i="4032" s="1"/>
  <c r="I115" i="4032"/>
  <c r="Q115" i="4032"/>
  <c r="Q118" i="4032" s="1"/>
  <c r="P115" i="4032"/>
  <c r="P118" i="4032" s="1"/>
  <c r="N115" i="4032"/>
  <c r="M115" i="4032"/>
  <c r="M118" i="4032" s="1"/>
  <c r="M126" i="4032" s="1"/>
  <c r="T115" i="4032"/>
  <c r="T118" i="4032" s="1"/>
  <c r="K115" i="4032"/>
  <c r="K118" i="4032" s="1"/>
  <c r="J115" i="4032"/>
  <c r="J118" i="4032" s="1"/>
  <c r="J120" i="4032" s="1"/>
  <c r="H115" i="4032"/>
  <c r="H118" i="4032" s="1"/>
  <c r="AQ115" i="4032"/>
  <c r="AQ118" i="4032" s="1"/>
  <c r="AQ126" i="4032" s="1"/>
  <c r="G115" i="4032"/>
  <c r="G118" i="4032" s="1"/>
  <c r="G128" i="4032" s="1"/>
  <c r="AM115" i="4032"/>
  <c r="AO115" i="4032"/>
  <c r="E115" i="4032"/>
  <c r="AN115" i="4032"/>
  <c r="AN118" i="4032" s="1"/>
  <c r="AN126" i="4032" s="1"/>
  <c r="AJ115" i="4032"/>
  <c r="AJ118" i="4032" s="1"/>
  <c r="AJ126" i="4032" s="1"/>
  <c r="AL115" i="4032"/>
  <c r="AL118" i="4032" s="1"/>
  <c r="AL126" i="4032" s="1"/>
  <c r="AK115" i="4032"/>
  <c r="AD115" i="4032"/>
  <c r="AI115" i="4032"/>
  <c r="AI118" i="4032" s="1"/>
  <c r="AI126" i="4032" s="1"/>
  <c r="AH115" i="4032"/>
  <c r="AH118" i="4032" s="1"/>
  <c r="AH126" i="4032" s="1"/>
  <c r="AA115" i="4032"/>
  <c r="AA118" i="4032" s="1"/>
  <c r="AA128" i="4032" s="1"/>
  <c r="S115" i="4032"/>
  <c r="S118" i="4032" s="1"/>
  <c r="S120" i="4032" s="1"/>
  <c r="AF115" i="4032"/>
  <c r="AE115" i="4032"/>
  <c r="AE118" i="4032" s="1"/>
  <c r="AE126" i="4032" s="1"/>
  <c r="U115" i="4032"/>
  <c r="U118" i="4032" s="1"/>
  <c r="U120" i="4032" s="1"/>
  <c r="O115" i="4030"/>
  <c r="O118" i="4030" s="1"/>
  <c r="O126" i="4030" s="1"/>
  <c r="F115" i="4030"/>
  <c r="F118" i="4030" s="1"/>
  <c r="F128" i="4030" s="1"/>
  <c r="AC115" i="4029"/>
  <c r="AM115" i="4029"/>
  <c r="AM118" i="4029" s="1"/>
  <c r="AM128" i="4029" s="1"/>
  <c r="Z115" i="4029"/>
  <c r="Z118" i="4029" s="1"/>
  <c r="Z128" i="4029" s="1"/>
  <c r="AG115" i="4029"/>
  <c r="W115" i="4029"/>
  <c r="AD115" i="4029"/>
  <c r="AD118" i="4029" s="1"/>
  <c r="AD126" i="4029" s="1"/>
  <c r="T115" i="4029"/>
  <c r="T118" i="4029" s="1"/>
  <c r="T120" i="4029" s="1"/>
  <c r="X115" i="4029"/>
  <c r="Q115" i="4029"/>
  <c r="Q118" i="4029" s="1"/>
  <c r="Q126" i="4029" s="1"/>
  <c r="U115" i="4029"/>
  <c r="U118" i="4029" s="1"/>
  <c r="N115" i="4029"/>
  <c r="N118" i="4029" s="1"/>
  <c r="O115" i="4029"/>
  <c r="O118" i="4029" s="1"/>
  <c r="O120" i="4029" s="1"/>
  <c r="K115" i="4029"/>
  <c r="K118" i="4029" s="1"/>
  <c r="L115" i="4029"/>
  <c r="L118" i="4029" s="1"/>
  <c r="H115" i="4029"/>
  <c r="H118" i="4029" s="1"/>
  <c r="H128" i="4029" s="1"/>
  <c r="F115" i="4029"/>
  <c r="F118" i="4029" s="1"/>
  <c r="F120" i="4029" s="1"/>
  <c r="AP115" i="4029"/>
  <c r="AO115" i="4029"/>
  <c r="AO118" i="4029" s="1"/>
  <c r="E115" i="4029"/>
  <c r="E118" i="4029" s="1"/>
  <c r="E120" i="4029" s="1"/>
  <c r="AF115" i="4029"/>
  <c r="AF118" i="4029" s="1"/>
  <c r="AF126" i="4029" s="1"/>
  <c r="AL115" i="4029"/>
  <c r="I115" i="4028"/>
  <c r="I118" i="4028" s="1"/>
  <c r="I126" i="4028" s="1"/>
  <c r="AO115" i="4028"/>
  <c r="AO118" i="4028" s="1"/>
  <c r="P115" i="4028"/>
  <c r="P118" i="4028" s="1"/>
  <c r="P128" i="4028" s="1"/>
  <c r="F115" i="4028"/>
  <c r="AL115" i="4028"/>
  <c r="AL118" i="4028" s="1"/>
  <c r="AL126" i="4028" s="1"/>
  <c r="G115" i="4028"/>
  <c r="G118" i="4028" s="1"/>
  <c r="G126" i="4028" s="1"/>
  <c r="AF115" i="4028"/>
  <c r="AF118" i="4028" s="1"/>
  <c r="AM115" i="4028"/>
  <c r="AM118" i="4028" s="1"/>
  <c r="AJ115" i="4028"/>
  <c r="AJ118" i="4028" s="1"/>
  <c r="AJ128" i="4028" s="1"/>
  <c r="AC115" i="4028"/>
  <c r="AC118" i="4028" s="1"/>
  <c r="AC126" i="4028" s="1"/>
  <c r="AD115" i="4028"/>
  <c r="AD118" i="4028" s="1"/>
  <c r="T115" i="4028"/>
  <c r="T118" i="4028" s="1"/>
  <c r="AG115" i="4028"/>
  <c r="AG118" i="4028" s="1"/>
  <c r="AG126" i="4028" s="1"/>
  <c r="AA115" i="4028"/>
  <c r="AA118" i="4028" s="1"/>
  <c r="AA126" i="4028" s="1"/>
  <c r="N115" i="4028"/>
  <c r="N118" i="4028" s="1"/>
  <c r="N120" i="4028" s="1"/>
  <c r="X115" i="4028"/>
  <c r="X118" i="4028" s="1"/>
  <c r="K115" i="4028"/>
  <c r="K118" i="4028" s="1"/>
  <c r="E115" i="4028"/>
  <c r="R115" i="4028"/>
  <c r="R118" i="4028" s="1"/>
  <c r="AQ115" i="4028"/>
  <c r="AQ118" i="4028" s="1"/>
  <c r="AQ126" i="4028" s="1"/>
  <c r="U115" i="4028"/>
  <c r="U118" i="4028" s="1"/>
  <c r="U120" i="4028" s="1"/>
  <c r="O115" i="4028"/>
  <c r="AH115" i="4028"/>
  <c r="AH118" i="4028" s="1"/>
  <c r="AH126" i="4028" s="1"/>
  <c r="AP115" i="4027"/>
  <c r="AP118" i="4027" s="1"/>
  <c r="AP128" i="4027" s="1"/>
  <c r="AL115" i="4027"/>
  <c r="L115" i="4027"/>
  <c r="L118" i="4027" s="1"/>
  <c r="L128" i="4027" s="1"/>
  <c r="Z115" i="4027"/>
  <c r="AH115" i="4027"/>
  <c r="AH118" i="4027" s="1"/>
  <c r="AH126" i="4027" s="1"/>
  <c r="T115" i="4027"/>
  <c r="T118" i="4027" s="1"/>
  <c r="T128" i="4027" s="1"/>
  <c r="Y115" i="4027"/>
  <c r="Y118" i="4027" s="1"/>
  <c r="Y126" i="4027" s="1"/>
  <c r="F115" i="4027"/>
  <c r="F118" i="4027" s="1"/>
  <c r="F120" i="4027" s="1"/>
  <c r="Q115" i="4027"/>
  <c r="P115" i="4027"/>
  <c r="P118" i="4027" s="1"/>
  <c r="K115" i="4027"/>
  <c r="G115" i="4027"/>
  <c r="G118" i="4027" s="1"/>
  <c r="H115" i="4027"/>
  <c r="AB115" i="4026"/>
  <c r="AB118" i="4026" s="1"/>
  <c r="AB126" i="4026" s="1"/>
  <c r="AK115" i="4026"/>
  <c r="AK118" i="4026" s="1"/>
  <c r="AP128" i="4025"/>
  <c r="AP130" i="4025" s="1"/>
  <c r="AP132" i="4025" s="1"/>
  <c r="AP139" i="4025" s="1"/>
  <c r="AP140" i="4025" s="1"/>
  <c r="AP143" i="4025" s="1"/>
  <c r="K128" i="4024"/>
  <c r="AC128" i="4024"/>
  <c r="AC130" i="4024" s="1"/>
  <c r="AC132" i="4024" s="1"/>
  <c r="P131" i="4024"/>
  <c r="U128" i="4024"/>
  <c r="Y128" i="4024"/>
  <c r="AH126" i="4024"/>
  <c r="P126" i="4024"/>
  <c r="AO128" i="4023"/>
  <c r="AB128" i="4023"/>
  <c r="N128" i="4023"/>
  <c r="AH128" i="4023"/>
  <c r="T128" i="4023"/>
  <c r="G128" i="4023"/>
  <c r="S126" i="4023"/>
  <c r="AK126" i="4023"/>
  <c r="H131" i="4022"/>
  <c r="AI128" i="4022"/>
  <c r="H128" i="4022"/>
  <c r="K128" i="4022"/>
  <c r="AL126" i="4022"/>
  <c r="V126" i="4022"/>
  <c r="AM126" i="4022"/>
  <c r="AM130" i="4022" s="1"/>
  <c r="AM132" i="4022" s="1"/>
  <c r="AC126" i="4022"/>
  <c r="T126" i="4022"/>
  <c r="K126" i="4022"/>
  <c r="T128" i="4022"/>
  <c r="AB128" i="4022"/>
  <c r="AN126" i="4022"/>
  <c r="M126" i="4022"/>
  <c r="U115" i="4021"/>
  <c r="U118" i="4021" s="1"/>
  <c r="U128" i="4021" s="1"/>
  <c r="R115" i="4021"/>
  <c r="R118" i="4021" s="1"/>
  <c r="R126" i="4021" s="1"/>
  <c r="O115" i="4021"/>
  <c r="O118" i="4021" s="1"/>
  <c r="AJ115" i="4021"/>
  <c r="AJ118" i="4021" s="1"/>
  <c r="AJ126" i="4021" s="1"/>
  <c r="F115" i="4021"/>
  <c r="F118" i="4021" s="1"/>
  <c r="N115" i="4021"/>
  <c r="N118" i="4021" s="1"/>
  <c r="AM115" i="4021"/>
  <c r="AM118" i="4021" s="1"/>
  <c r="AM128" i="4021" s="1"/>
  <c r="E115" i="4021"/>
  <c r="E118" i="4021" s="1"/>
  <c r="E120" i="4021" s="1"/>
  <c r="AD115" i="4021"/>
  <c r="AA115" i="4021"/>
  <c r="AA118" i="4021" s="1"/>
  <c r="AA126" i="4021" s="1"/>
  <c r="X115" i="4021"/>
  <c r="X118" i="4021" s="1"/>
  <c r="X120" i="4021" s="1"/>
  <c r="AG126" i="4021"/>
  <c r="AO115" i="4021"/>
  <c r="AO118" i="4021" s="1"/>
  <c r="AO126" i="4021" s="1"/>
  <c r="L115" i="4021"/>
  <c r="L118" i="4021" s="1"/>
  <c r="L126" i="4021" s="1"/>
  <c r="AF115" i="4021"/>
  <c r="AF118" i="4021" s="1"/>
  <c r="AF126" i="4021" s="1"/>
  <c r="I115" i="4021"/>
  <c r="I118" i="4021" s="1"/>
  <c r="AN115" i="4020"/>
  <c r="AN118" i="4020" s="1"/>
  <c r="AP115" i="4020"/>
  <c r="AP118" i="4020" s="1"/>
  <c r="T115" i="4020"/>
  <c r="T118" i="4020" s="1"/>
  <c r="T131" i="4020" s="1"/>
  <c r="AH115" i="4020"/>
  <c r="AH118" i="4020" s="1"/>
  <c r="AG115" i="4020"/>
  <c r="AG118" i="4020" s="1"/>
  <c r="AE115" i="4020"/>
  <c r="AD115" i="4020"/>
  <c r="AD118" i="4020" s="1"/>
  <c r="AD126" i="4020" s="1"/>
  <c r="X115" i="4020"/>
  <c r="X118" i="4020" s="1"/>
  <c r="S115" i="4020"/>
  <c r="L115" i="4020"/>
  <c r="L118" i="4020" s="1"/>
  <c r="L128" i="4020" s="1"/>
  <c r="P115" i="4020"/>
  <c r="P118" i="4020" s="1"/>
  <c r="F115" i="4020"/>
  <c r="M115" i="4020"/>
  <c r="N115" i="4018"/>
  <c r="N118" i="4018" s="1"/>
  <c r="N120" i="4018" s="1"/>
  <c r="AN115" i="4018"/>
  <c r="AK115" i="4018"/>
  <c r="I115" i="4018"/>
  <c r="I118" i="4018" s="1"/>
  <c r="AH115" i="4018"/>
  <c r="AH118" i="4018" s="1"/>
  <c r="AP115" i="4018"/>
  <c r="F115" i="4018"/>
  <c r="AE115" i="4018"/>
  <c r="AM115" i="4018"/>
  <c r="AM118" i="4018" s="1"/>
  <c r="AM126" i="4018" s="1"/>
  <c r="G115" i="4018"/>
  <c r="AB115" i="4018"/>
  <c r="AJ115" i="4018"/>
  <c r="AJ118" i="4018" s="1"/>
  <c r="AJ128" i="4018" s="1"/>
  <c r="Y115" i="4018"/>
  <c r="AG115" i="4018"/>
  <c r="AG118" i="4018" s="1"/>
  <c r="AG126" i="4018" s="1"/>
  <c r="V115" i="4018"/>
  <c r="V118" i="4018" s="1"/>
  <c r="V131" i="4018" s="1"/>
  <c r="AD115" i="4018"/>
  <c r="O115" i="4018"/>
  <c r="O118" i="4018" s="1"/>
  <c r="O126" i="4018" s="1"/>
  <c r="S115" i="4018"/>
  <c r="AA115" i="4018"/>
  <c r="AA118" i="4018" s="1"/>
  <c r="AA126" i="4018" s="1"/>
  <c r="AO115" i="4018"/>
  <c r="AO118" i="4018" s="1"/>
  <c r="E115" i="4018"/>
  <c r="E118" i="4018" s="1"/>
  <c r="E120" i="4018" s="1"/>
  <c r="L115" i="4018"/>
  <c r="L118" i="4018" s="1"/>
  <c r="P115" i="4018"/>
  <c r="X115" i="4018"/>
  <c r="X118" i="4018" s="1"/>
  <c r="AF115" i="4018"/>
  <c r="AF118" i="4018" s="1"/>
  <c r="M115" i="4018"/>
  <c r="M118" i="4018" s="1"/>
  <c r="U115" i="4018"/>
  <c r="U118" i="4018" s="1"/>
  <c r="U128" i="4018" s="1"/>
  <c r="W115" i="4018"/>
  <c r="W118" i="4018" s="1"/>
  <c r="W131" i="4018" s="1"/>
  <c r="O115" i="4019"/>
  <c r="O118" i="4019" s="1"/>
  <c r="O128" i="4019" s="1"/>
  <c r="F115" i="4019"/>
  <c r="F118" i="4019" s="1"/>
  <c r="F128" i="4019" s="1"/>
  <c r="AI126" i="4025"/>
  <c r="AI128" i="4025"/>
  <c r="W126" i="4025"/>
  <c r="W128" i="4025"/>
  <c r="Q145" i="4025"/>
  <c r="Q131" i="4025"/>
  <c r="N118" i="4025"/>
  <c r="N126" i="4025" s="1"/>
  <c r="H145" i="4025"/>
  <c r="H131" i="4025"/>
  <c r="H128" i="4025"/>
  <c r="X128" i="4025"/>
  <c r="AN126" i="4025"/>
  <c r="AN128" i="4025"/>
  <c r="AK118" i="4025"/>
  <c r="AB118" i="4025"/>
  <c r="AB128" i="4025" s="1"/>
  <c r="V126" i="4025"/>
  <c r="V128" i="4025"/>
  <c r="M145" i="4025"/>
  <c r="M128" i="4025"/>
  <c r="J145" i="4025"/>
  <c r="J128" i="4025"/>
  <c r="L118" i="4030"/>
  <c r="L120" i="4030" s="1"/>
  <c r="N118" i="4026"/>
  <c r="N120" i="4026" s="1"/>
  <c r="K118" i="4019"/>
  <c r="K120" i="4019" s="1"/>
  <c r="J118" i="4028"/>
  <c r="J120" i="4028" s="1"/>
  <c r="J118" i="4027"/>
  <c r="J120" i="4027" s="1"/>
  <c r="F118" i="4031"/>
  <c r="F120" i="4031" s="1"/>
  <c r="AQ118" i="4018"/>
  <c r="I118" i="4033"/>
  <c r="I120" i="4033" s="1"/>
  <c r="AR118" i="4032"/>
  <c r="I118" i="4029"/>
  <c r="I120" i="4029" s="1"/>
  <c r="AQ118" i="4020"/>
  <c r="W118" i="4036"/>
  <c r="AA118" i="4034"/>
  <c r="D144" i="4035"/>
  <c r="O128" i="4035"/>
  <c r="AB126" i="4034"/>
  <c r="J126" i="4034"/>
  <c r="K131" i="4034"/>
  <c r="Y118" i="4033"/>
  <c r="J131" i="4034"/>
  <c r="AP126" i="4030"/>
  <c r="AI128" i="4029"/>
  <c r="H118" i="4027"/>
  <c r="R128" i="4028"/>
  <c r="L115" i="4026"/>
  <c r="AD115" i="4026"/>
  <c r="AJ118" i="4025"/>
  <c r="R118" i="4025"/>
  <c r="R120" i="4025" s="1"/>
  <c r="I118" i="4025"/>
  <c r="I120" i="4025" s="1"/>
  <c r="AG118" i="4024"/>
  <c r="O118" i="4024"/>
  <c r="O120" i="4024" s="1"/>
  <c r="AM118" i="4023"/>
  <c r="L118" i="4023"/>
  <c r="AQ128" i="4028"/>
  <c r="U128" i="4023"/>
  <c r="C159" i="4022"/>
  <c r="E118" i="4022"/>
  <c r="E120" i="4022" s="1"/>
  <c r="AF115" i="4026"/>
  <c r="P131" i="4025"/>
  <c r="AC126" i="4025"/>
  <c r="Q136" i="4024"/>
  <c r="N136" i="4024"/>
  <c r="K136" i="4024"/>
  <c r="H136" i="4024"/>
  <c r="E136" i="4024"/>
  <c r="R135" i="4024"/>
  <c r="O135" i="4024"/>
  <c r="L135" i="4024"/>
  <c r="I135" i="4024"/>
  <c r="F135" i="4024"/>
  <c r="D143" i="4024"/>
  <c r="S136" i="4024"/>
  <c r="P136" i="4024"/>
  <c r="M136" i="4024"/>
  <c r="J136" i="4024"/>
  <c r="G136" i="4024"/>
  <c r="Q135" i="4024"/>
  <c r="N135" i="4024"/>
  <c r="K135" i="4024"/>
  <c r="H135" i="4024"/>
  <c r="E135" i="4024"/>
  <c r="R136" i="4024"/>
  <c r="O136" i="4024"/>
  <c r="L136" i="4024"/>
  <c r="I136" i="4024"/>
  <c r="F136" i="4024"/>
  <c r="S135" i="4024"/>
  <c r="P135" i="4024"/>
  <c r="M135" i="4024"/>
  <c r="J135" i="4024"/>
  <c r="G135" i="4024"/>
  <c r="L118" i="4022"/>
  <c r="L120" i="4022" s="1"/>
  <c r="D144" i="4022"/>
  <c r="AB118" i="4020"/>
  <c r="J118" i="4020"/>
  <c r="AH118" i="4019"/>
  <c r="AQ128" i="4025"/>
  <c r="P128" i="4025"/>
  <c r="AH126" i="4025"/>
  <c r="G126" i="4025"/>
  <c r="T126" i="4024"/>
  <c r="K126" i="4024"/>
  <c r="R118" i="4022"/>
  <c r="R120" i="4022" s="1"/>
  <c r="M131" i="4023"/>
  <c r="AE128" i="4023"/>
  <c r="Z126" i="4023"/>
  <c r="Q126" i="4023"/>
  <c r="H126" i="4023"/>
  <c r="Q136" i="4023"/>
  <c r="N136" i="4023"/>
  <c r="K136" i="4023"/>
  <c r="H136" i="4023"/>
  <c r="E136" i="4023"/>
  <c r="R135" i="4023"/>
  <c r="O135" i="4023"/>
  <c r="L135" i="4023"/>
  <c r="I135" i="4023"/>
  <c r="F135" i="4023"/>
  <c r="D143" i="4023"/>
  <c r="S136" i="4023"/>
  <c r="P136" i="4023"/>
  <c r="M136" i="4023"/>
  <c r="J136" i="4023"/>
  <c r="G136" i="4023"/>
  <c r="Q135" i="4023"/>
  <c r="N135" i="4023"/>
  <c r="K135" i="4023"/>
  <c r="H135" i="4023"/>
  <c r="E135" i="4023"/>
  <c r="R136" i="4023"/>
  <c r="O136" i="4023"/>
  <c r="L136" i="4023"/>
  <c r="I136" i="4023"/>
  <c r="F136" i="4023"/>
  <c r="S135" i="4023"/>
  <c r="P135" i="4023"/>
  <c r="M135" i="4023"/>
  <c r="J135" i="4023"/>
  <c r="G135" i="4023"/>
  <c r="AG118" i="4022"/>
  <c r="F118" i="4022"/>
  <c r="F120" i="4022" s="1"/>
  <c r="AR115" i="4019"/>
  <c r="AI115" i="4019"/>
  <c r="Z115" i="4019"/>
  <c r="Q115" i="4019"/>
  <c r="H115" i="4019"/>
  <c r="W128" i="4022"/>
  <c r="W131" i="4021"/>
  <c r="R128" i="4021"/>
  <c r="AQ115" i="4019"/>
  <c r="AL128" i="4020"/>
  <c r="AH126" i="4022"/>
  <c r="Y128" i="4022"/>
  <c r="AC128" i="4020"/>
  <c r="D144" i="4036"/>
  <c r="D143" i="4036"/>
  <c r="Q136" i="4036"/>
  <c r="N136" i="4036"/>
  <c r="K136" i="4036"/>
  <c r="H136" i="4036"/>
  <c r="E136" i="4036"/>
  <c r="R135" i="4036"/>
  <c r="O135" i="4036"/>
  <c r="L135" i="4036"/>
  <c r="I135" i="4036"/>
  <c r="F135" i="4036"/>
  <c r="R136" i="4036"/>
  <c r="O136" i="4036"/>
  <c r="L136" i="4036"/>
  <c r="I136" i="4036"/>
  <c r="F136" i="4036"/>
  <c r="S135" i="4036"/>
  <c r="P135" i="4036"/>
  <c r="M135" i="4036"/>
  <c r="J135" i="4036"/>
  <c r="G135" i="4036"/>
  <c r="S136" i="4036"/>
  <c r="J136" i="4036"/>
  <c r="Q135" i="4036"/>
  <c r="H135" i="4036"/>
  <c r="P136" i="4036"/>
  <c r="G136" i="4036"/>
  <c r="N135" i="4036"/>
  <c r="E135" i="4036"/>
  <c r="M136" i="4036"/>
  <c r="K135" i="4036"/>
  <c r="Q145" i="4036"/>
  <c r="Q131" i="4036"/>
  <c r="O131" i="4036"/>
  <c r="AN126" i="4036"/>
  <c r="M126" i="4036"/>
  <c r="AM130" i="4036"/>
  <c r="AM132" i="4036" s="1"/>
  <c r="N118" i="4036"/>
  <c r="N120" i="4036" s="1"/>
  <c r="V128" i="4036"/>
  <c r="V130" i="4036" s="1"/>
  <c r="V132" i="4036" s="1"/>
  <c r="AA126" i="4036"/>
  <c r="O126" i="4036"/>
  <c r="K118" i="4036"/>
  <c r="K120" i="4036" s="1"/>
  <c r="AG126" i="4036"/>
  <c r="P131" i="4036"/>
  <c r="AH128" i="4036"/>
  <c r="AH130" i="4036" s="1"/>
  <c r="AH132" i="4036" s="1"/>
  <c r="G128" i="4036"/>
  <c r="T118" i="4036"/>
  <c r="O128" i="4036"/>
  <c r="Y126" i="4036"/>
  <c r="R128" i="4036"/>
  <c r="AI118" i="4035"/>
  <c r="H118" i="4035"/>
  <c r="H120" i="4035" s="1"/>
  <c r="V128" i="4035"/>
  <c r="X126" i="4035"/>
  <c r="O126" i="4035"/>
  <c r="AG118" i="4034"/>
  <c r="O118" i="4034"/>
  <c r="O120" i="4034" s="1"/>
  <c r="F118" i="4034"/>
  <c r="AM128" i="4035"/>
  <c r="D143" i="4035"/>
  <c r="R136" i="4035"/>
  <c r="O136" i="4035"/>
  <c r="L136" i="4035"/>
  <c r="I136" i="4035"/>
  <c r="F136" i="4035"/>
  <c r="P136" i="4035"/>
  <c r="K136" i="4035"/>
  <c r="G136" i="4035"/>
  <c r="S135" i="4035"/>
  <c r="P135" i="4035"/>
  <c r="M135" i="4035"/>
  <c r="J135" i="4035"/>
  <c r="G135" i="4035"/>
  <c r="S136" i="4035"/>
  <c r="N136" i="4035"/>
  <c r="J136" i="4035"/>
  <c r="E136" i="4035"/>
  <c r="R135" i="4035"/>
  <c r="O135" i="4035"/>
  <c r="L135" i="4035"/>
  <c r="I135" i="4035"/>
  <c r="F135" i="4035"/>
  <c r="Q136" i="4035"/>
  <c r="M136" i="4035"/>
  <c r="H136" i="4035"/>
  <c r="Q135" i="4035"/>
  <c r="N135" i="4035"/>
  <c r="N137" i="4035" s="1"/>
  <c r="K135" i="4035"/>
  <c r="H135" i="4035"/>
  <c r="E135" i="4035"/>
  <c r="U128" i="4034"/>
  <c r="X128" i="4035"/>
  <c r="D144" i="4034"/>
  <c r="AQ128" i="4034"/>
  <c r="AC128" i="4034"/>
  <c r="P128" i="4034"/>
  <c r="Y126" i="4034"/>
  <c r="P126" i="4034"/>
  <c r="G126" i="4034"/>
  <c r="AO115" i="4033"/>
  <c r="AF115" i="4033"/>
  <c r="W115" i="4033"/>
  <c r="W118" i="4033" s="1"/>
  <c r="W120" i="4033" s="1"/>
  <c r="N115" i="4033"/>
  <c r="E115" i="4033"/>
  <c r="Q131" i="4034"/>
  <c r="AK128" i="4034"/>
  <c r="W128" i="4034"/>
  <c r="J128" i="4034"/>
  <c r="AN115" i="4033"/>
  <c r="AE115" i="4033"/>
  <c r="V115" i="4033"/>
  <c r="V118" i="4033" s="1"/>
  <c r="V128" i="4033" s="1"/>
  <c r="M115" i="4033"/>
  <c r="D143" i="4033"/>
  <c r="S136" i="4033"/>
  <c r="P136" i="4033"/>
  <c r="M136" i="4033"/>
  <c r="J136" i="4033"/>
  <c r="G136" i="4033"/>
  <c r="Q135" i="4033"/>
  <c r="N135" i="4033"/>
  <c r="K135" i="4033"/>
  <c r="H135" i="4033"/>
  <c r="E135" i="4033"/>
  <c r="R136" i="4033"/>
  <c r="O136" i="4033"/>
  <c r="L136" i="4033"/>
  <c r="I136" i="4033"/>
  <c r="F136" i="4033"/>
  <c r="S135" i="4033"/>
  <c r="P135" i="4033"/>
  <c r="M135" i="4033"/>
  <c r="J135" i="4033"/>
  <c r="G135" i="4033"/>
  <c r="Q136" i="4033"/>
  <c r="N136" i="4033"/>
  <c r="K136" i="4033"/>
  <c r="H136" i="4033"/>
  <c r="E136" i="4033"/>
  <c r="R135" i="4033"/>
  <c r="O135" i="4033"/>
  <c r="L135" i="4033"/>
  <c r="I135" i="4033"/>
  <c r="F135" i="4033"/>
  <c r="AH130" i="4034"/>
  <c r="AH132" i="4034" s="1"/>
  <c r="P131" i="4034"/>
  <c r="AI128" i="4034"/>
  <c r="V128" i="4034"/>
  <c r="H128" i="4034"/>
  <c r="AL126" i="4034"/>
  <c r="T126" i="4034"/>
  <c r="K126" i="4034"/>
  <c r="AM115" i="4033"/>
  <c r="AD115" i="4033"/>
  <c r="U115" i="4033"/>
  <c r="L115" i="4033"/>
  <c r="AP126" i="4033"/>
  <c r="AG126" i="4033"/>
  <c r="X126" i="4033"/>
  <c r="O126" i="4033"/>
  <c r="AL115" i="4031"/>
  <c r="AC115" i="4031"/>
  <c r="T115" i="4031"/>
  <c r="T118" i="4031" s="1"/>
  <c r="K115" i="4031"/>
  <c r="AI128" i="4033"/>
  <c r="AR115" i="4033"/>
  <c r="D144" i="4032"/>
  <c r="AQ115" i="4031"/>
  <c r="AH115" i="4031"/>
  <c r="Y115" i="4031"/>
  <c r="P115" i="4031"/>
  <c r="G115" i="4031"/>
  <c r="AP115" i="4032"/>
  <c r="AG115" i="4032"/>
  <c r="X115" i="4032"/>
  <c r="O115" i="4032"/>
  <c r="F115" i="4032"/>
  <c r="AJ115" i="4031"/>
  <c r="AA115" i="4031"/>
  <c r="R115" i="4031"/>
  <c r="I115" i="4031"/>
  <c r="J128" i="4031"/>
  <c r="AA126" i="4032"/>
  <c r="AO115" i="4030"/>
  <c r="AF115" i="4030"/>
  <c r="W115" i="4030"/>
  <c r="W118" i="4030" s="1"/>
  <c r="W120" i="4030" s="1"/>
  <c r="N115" i="4030"/>
  <c r="E115" i="4030"/>
  <c r="H126" i="4032"/>
  <c r="D143" i="4030"/>
  <c r="S136" i="4030"/>
  <c r="P136" i="4030"/>
  <c r="M136" i="4030"/>
  <c r="J136" i="4030"/>
  <c r="G136" i="4030"/>
  <c r="Q135" i="4030"/>
  <c r="N135" i="4030"/>
  <c r="K135" i="4030"/>
  <c r="H135" i="4030"/>
  <c r="E135" i="4030"/>
  <c r="R136" i="4030"/>
  <c r="O136" i="4030"/>
  <c r="L136" i="4030"/>
  <c r="I136" i="4030"/>
  <c r="F136" i="4030"/>
  <c r="S135" i="4030"/>
  <c r="P135" i="4030"/>
  <c r="M135" i="4030"/>
  <c r="J135" i="4030"/>
  <c r="G135" i="4030"/>
  <c r="Q136" i="4030"/>
  <c r="N136" i="4030"/>
  <c r="K136" i="4030"/>
  <c r="H136" i="4030"/>
  <c r="E136" i="4030"/>
  <c r="R135" i="4030"/>
  <c r="O135" i="4030"/>
  <c r="L135" i="4030"/>
  <c r="I135" i="4030"/>
  <c r="F135" i="4030"/>
  <c r="D144" i="4030"/>
  <c r="AQ128" i="4032"/>
  <c r="Y128" i="4032"/>
  <c r="AM115" i="4030"/>
  <c r="AD115" i="4030"/>
  <c r="U115" i="4030"/>
  <c r="AJ115" i="4029"/>
  <c r="AA115" i="4029"/>
  <c r="R115" i="4029"/>
  <c r="D143" i="4028"/>
  <c r="S136" i="4028"/>
  <c r="P136" i="4028"/>
  <c r="M136" i="4028"/>
  <c r="J136" i="4028"/>
  <c r="G136" i="4028"/>
  <c r="Q135" i="4028"/>
  <c r="N135" i="4028"/>
  <c r="K135" i="4028"/>
  <c r="H135" i="4028"/>
  <c r="E135" i="4028"/>
  <c r="Q136" i="4028"/>
  <c r="N136" i="4028"/>
  <c r="K136" i="4028"/>
  <c r="H136" i="4028"/>
  <c r="E136" i="4028"/>
  <c r="R135" i="4028"/>
  <c r="O135" i="4028"/>
  <c r="L135" i="4028"/>
  <c r="R136" i="4028"/>
  <c r="I136" i="4028"/>
  <c r="S135" i="4028"/>
  <c r="J135" i="4028"/>
  <c r="F135" i="4028"/>
  <c r="O136" i="4028"/>
  <c r="F136" i="4028"/>
  <c r="P135" i="4028"/>
  <c r="P137" i="4028" s="1"/>
  <c r="I135" i="4028"/>
  <c r="L136" i="4028"/>
  <c r="M135" i="4028"/>
  <c r="G135" i="4028"/>
  <c r="Z126" i="4029"/>
  <c r="AR115" i="4028"/>
  <c r="AI115" i="4028"/>
  <c r="Z115" i="4028"/>
  <c r="Q115" i="4028"/>
  <c r="H115" i="4028"/>
  <c r="AO115" i="4027"/>
  <c r="AF115" i="4027"/>
  <c r="W115" i="4027"/>
  <c r="W118" i="4027" s="1"/>
  <c r="N115" i="4027"/>
  <c r="E115" i="4027"/>
  <c r="O128" i="4030"/>
  <c r="D143" i="4029"/>
  <c r="S136" i="4029"/>
  <c r="P136" i="4029"/>
  <c r="M136" i="4029"/>
  <c r="J136" i="4029"/>
  <c r="G136" i="4029"/>
  <c r="Q135" i="4029"/>
  <c r="N135" i="4029"/>
  <c r="K135" i="4029"/>
  <c r="H135" i="4029"/>
  <c r="E135" i="4029"/>
  <c r="R136" i="4029"/>
  <c r="O136" i="4029"/>
  <c r="L136" i="4029"/>
  <c r="I136" i="4029"/>
  <c r="F136" i="4029"/>
  <c r="S135" i="4029"/>
  <c r="P135" i="4029"/>
  <c r="M135" i="4029"/>
  <c r="M137" i="4029" s="1"/>
  <c r="J135" i="4029"/>
  <c r="G135" i="4029"/>
  <c r="Q136" i="4029"/>
  <c r="N136" i="4029"/>
  <c r="K136" i="4029"/>
  <c r="H136" i="4029"/>
  <c r="E136" i="4029"/>
  <c r="R135" i="4029"/>
  <c r="O135" i="4029"/>
  <c r="L135" i="4029"/>
  <c r="I135" i="4029"/>
  <c r="F135" i="4029"/>
  <c r="D144" i="4029"/>
  <c r="AN115" i="4028"/>
  <c r="AE115" i="4028"/>
  <c r="V115" i="4028"/>
  <c r="M115" i="4028"/>
  <c r="D144" i="4028"/>
  <c r="AN115" i="4027"/>
  <c r="AE115" i="4027"/>
  <c r="V115" i="4027"/>
  <c r="M115" i="4027"/>
  <c r="R126" i="4028"/>
  <c r="AP115" i="4028"/>
  <c r="R128" i="4027"/>
  <c r="F126" i="4027"/>
  <c r="AL115" i="4026"/>
  <c r="K115" i="4026"/>
  <c r="Q136" i="4026"/>
  <c r="N136" i="4026"/>
  <c r="K136" i="4026"/>
  <c r="H136" i="4026"/>
  <c r="E136" i="4026"/>
  <c r="R135" i="4026"/>
  <c r="O135" i="4026"/>
  <c r="L135" i="4026"/>
  <c r="I135" i="4026"/>
  <c r="F135" i="4026"/>
  <c r="D143" i="4026"/>
  <c r="S136" i="4026"/>
  <c r="P136" i="4026"/>
  <c r="M136" i="4026"/>
  <c r="J136" i="4026"/>
  <c r="G136" i="4026"/>
  <c r="Q135" i="4026"/>
  <c r="N135" i="4026"/>
  <c r="K135" i="4026"/>
  <c r="H135" i="4026"/>
  <c r="E135" i="4026"/>
  <c r="R136" i="4026"/>
  <c r="O136" i="4026"/>
  <c r="L136" i="4026"/>
  <c r="I136" i="4026"/>
  <c r="F136" i="4026"/>
  <c r="S135" i="4026"/>
  <c r="P135" i="4026"/>
  <c r="M135" i="4026"/>
  <c r="J135" i="4026"/>
  <c r="G135" i="4026"/>
  <c r="D144" i="4026"/>
  <c r="M115" i="4026"/>
  <c r="V115" i="4026"/>
  <c r="AE115" i="4026"/>
  <c r="AN115" i="4026"/>
  <c r="F115" i="4026"/>
  <c r="O115" i="4026"/>
  <c r="X115" i="4026"/>
  <c r="AG115" i="4026"/>
  <c r="AP115" i="4026"/>
  <c r="AG118" i="4025"/>
  <c r="O118" i="4025"/>
  <c r="O120" i="4025" s="1"/>
  <c r="F118" i="4025"/>
  <c r="AM118" i="4024"/>
  <c r="AD118" i="4024"/>
  <c r="L118" i="4024"/>
  <c r="L120" i="4024" s="1"/>
  <c r="AJ118" i="4023"/>
  <c r="AA118" i="4023"/>
  <c r="R118" i="4023"/>
  <c r="I118" i="4023"/>
  <c r="Y128" i="4028"/>
  <c r="N126" i="4028"/>
  <c r="AH128" i="4027"/>
  <c r="Q115" i="4026"/>
  <c r="U128" i="4025"/>
  <c r="X128" i="4024"/>
  <c r="C159" i="4023"/>
  <c r="E118" i="4023"/>
  <c r="E120" i="4023" s="1"/>
  <c r="O128" i="4027"/>
  <c r="AQ126" i="4027"/>
  <c r="W115" i="4026"/>
  <c r="W118" i="4026" s="1"/>
  <c r="Q128" i="4024"/>
  <c r="H128" i="4024"/>
  <c r="T130" i="4023"/>
  <c r="T132" i="4023" s="1"/>
  <c r="AR115" i="4026"/>
  <c r="V130" i="4025"/>
  <c r="M131" i="4025"/>
  <c r="AE128" i="4025"/>
  <c r="Q128" i="4025"/>
  <c r="Z126" i="4025"/>
  <c r="Q126" i="4025"/>
  <c r="H126" i="4025"/>
  <c r="X131" i="4024"/>
  <c r="V128" i="4024"/>
  <c r="U126" i="4024"/>
  <c r="AB130" i="4023"/>
  <c r="AB132" i="4023" s="1"/>
  <c r="AQ128" i="4023"/>
  <c r="AC128" i="4023"/>
  <c r="P128" i="4023"/>
  <c r="Y126" i="4023"/>
  <c r="P126" i="4023"/>
  <c r="G126" i="4023"/>
  <c r="S128" i="4022"/>
  <c r="AD118" i="4022"/>
  <c r="M131" i="4022"/>
  <c r="D144" i="4021"/>
  <c r="Y118" i="4020"/>
  <c r="G118" i="4020"/>
  <c r="AN115" i="4019"/>
  <c r="AE115" i="4019"/>
  <c r="V115" i="4019"/>
  <c r="V118" i="4019" s="1"/>
  <c r="V131" i="4019" s="1"/>
  <c r="M115" i="4019"/>
  <c r="AL128" i="4025"/>
  <c r="Y128" i="4025"/>
  <c r="K128" i="4025"/>
  <c r="M126" i="4025"/>
  <c r="AI128" i="4024"/>
  <c r="Z128" i="4024"/>
  <c r="AB128" i="4024"/>
  <c r="Q126" i="4024"/>
  <c r="H126" i="4024"/>
  <c r="Q131" i="4023"/>
  <c r="H131" i="4023"/>
  <c r="W128" i="4023"/>
  <c r="J128" i="4023"/>
  <c r="AJ118" i="4022"/>
  <c r="I118" i="4022"/>
  <c r="I120" i="4022" s="1"/>
  <c r="U128" i="4022"/>
  <c r="AQ115" i="4021"/>
  <c r="AN115" i="4021"/>
  <c r="AK115" i="4021"/>
  <c r="AH115" i="4021"/>
  <c r="AE115" i="4021"/>
  <c r="AB115" i="4021"/>
  <c r="Y115" i="4021"/>
  <c r="V115" i="4021"/>
  <c r="V118" i="4021" s="1"/>
  <c r="S115" i="4021"/>
  <c r="P115" i="4021"/>
  <c r="M115" i="4021"/>
  <c r="J115" i="4021"/>
  <c r="G115" i="4021"/>
  <c r="AJ115" i="4020"/>
  <c r="AA115" i="4020"/>
  <c r="R115" i="4020"/>
  <c r="I115" i="4020"/>
  <c r="AM115" i="4019"/>
  <c r="AD115" i="4019"/>
  <c r="U115" i="4019"/>
  <c r="L115" i="4019"/>
  <c r="AQ130" i="4025"/>
  <c r="AQ132" i="4025" s="1"/>
  <c r="W131" i="4025"/>
  <c r="AF128" i="4025"/>
  <c r="S128" i="4025"/>
  <c r="X126" i="4025"/>
  <c r="V131" i="4024"/>
  <c r="M131" i="4024"/>
  <c r="P128" i="4024"/>
  <c r="AN126" i="4024"/>
  <c r="M126" i="4024"/>
  <c r="AN128" i="4023"/>
  <c r="M128" i="4023"/>
  <c r="AF126" i="4023"/>
  <c r="W126" i="4023"/>
  <c r="N126" i="4023"/>
  <c r="W131" i="4022"/>
  <c r="AL115" i="4021"/>
  <c r="AC115" i="4021"/>
  <c r="T115" i="4021"/>
  <c r="K115" i="4021"/>
  <c r="AR115" i="4020"/>
  <c r="AI115" i="4020"/>
  <c r="Z115" i="4020"/>
  <c r="Q115" i="4020"/>
  <c r="H115" i="4020"/>
  <c r="AO115" i="4019"/>
  <c r="AF115" i="4019"/>
  <c r="W115" i="4019"/>
  <c r="N115" i="4019"/>
  <c r="E115" i="4019"/>
  <c r="AL115" i="4018"/>
  <c r="AC115" i="4018"/>
  <c r="T115" i="4018"/>
  <c r="K115" i="4018"/>
  <c r="AO128" i="4022"/>
  <c r="N128" i="4022"/>
  <c r="U126" i="4021"/>
  <c r="X128" i="4020"/>
  <c r="W126" i="4018"/>
  <c r="G126" i="4022"/>
  <c r="AR128" i="4022"/>
  <c r="AE128" i="4022"/>
  <c r="Q128" i="4022"/>
  <c r="Z126" i="4022"/>
  <c r="Q126" i="4022"/>
  <c r="H126" i="4022"/>
  <c r="W126" i="4021"/>
  <c r="D144" i="4020"/>
  <c r="R136" i="4020"/>
  <c r="O136" i="4020"/>
  <c r="L136" i="4020"/>
  <c r="I136" i="4020"/>
  <c r="F136" i="4020"/>
  <c r="S135" i="4020"/>
  <c r="P135" i="4020"/>
  <c r="M135" i="4020"/>
  <c r="J135" i="4020"/>
  <c r="G135" i="4020"/>
  <c r="Q136" i="4020"/>
  <c r="N136" i="4020"/>
  <c r="K136" i="4020"/>
  <c r="H136" i="4020"/>
  <c r="E136" i="4020"/>
  <c r="R135" i="4020"/>
  <c r="O135" i="4020"/>
  <c r="L135" i="4020"/>
  <c r="I135" i="4020"/>
  <c r="F135" i="4020"/>
  <c r="D143" i="4020"/>
  <c r="S136" i="4020"/>
  <c r="P136" i="4020"/>
  <c r="M136" i="4020"/>
  <c r="J136" i="4020"/>
  <c r="G136" i="4020"/>
  <c r="Q135" i="4020"/>
  <c r="N135" i="4020"/>
  <c r="K135" i="4020"/>
  <c r="H135" i="4020"/>
  <c r="E135" i="4020"/>
  <c r="AQ126" i="4022"/>
  <c r="P126" i="4022"/>
  <c r="AK126" i="4022"/>
  <c r="J126" i="4022"/>
  <c r="D144" i="4018"/>
  <c r="R136" i="4018"/>
  <c r="O136" i="4018"/>
  <c r="L136" i="4018"/>
  <c r="I136" i="4018"/>
  <c r="F136" i="4018"/>
  <c r="S135" i="4018"/>
  <c r="P135" i="4018"/>
  <c r="M135" i="4018"/>
  <c r="J135" i="4018"/>
  <c r="G135" i="4018"/>
  <c r="Q136" i="4018"/>
  <c r="N136" i="4018"/>
  <c r="K136" i="4018"/>
  <c r="H136" i="4018"/>
  <c r="E136" i="4018"/>
  <c r="R135" i="4018"/>
  <c r="O135" i="4018"/>
  <c r="L135" i="4018"/>
  <c r="I135" i="4018"/>
  <c r="F135" i="4018"/>
  <c r="D143" i="4018"/>
  <c r="S136" i="4018"/>
  <c r="P136" i="4018"/>
  <c r="M136" i="4018"/>
  <c r="J136" i="4018"/>
  <c r="G136" i="4018"/>
  <c r="Q135" i="4018"/>
  <c r="N135" i="4018"/>
  <c r="K135" i="4018"/>
  <c r="H135" i="4018"/>
  <c r="E135" i="4018"/>
  <c r="F126" i="4036"/>
  <c r="X128" i="4036"/>
  <c r="AJ118" i="4034"/>
  <c r="R118" i="4034"/>
  <c r="R128" i="4034" s="1"/>
  <c r="I118" i="4034"/>
  <c r="I120" i="4034" s="1"/>
  <c r="T128" i="4034"/>
  <c r="S126" i="4034"/>
  <c r="P118" i="4033"/>
  <c r="Z128" i="4033"/>
  <c r="D143" i="4032"/>
  <c r="Q136" i="4032"/>
  <c r="N136" i="4032"/>
  <c r="K136" i="4032"/>
  <c r="H136" i="4032"/>
  <c r="E136" i="4032"/>
  <c r="R135" i="4032"/>
  <c r="O135" i="4032"/>
  <c r="L135" i="4032"/>
  <c r="I135" i="4032"/>
  <c r="F135" i="4032"/>
  <c r="R136" i="4032"/>
  <c r="M136" i="4032"/>
  <c r="I136" i="4032"/>
  <c r="P135" i="4032"/>
  <c r="K135" i="4032"/>
  <c r="K137" i="4032" s="1"/>
  <c r="G135" i="4032"/>
  <c r="P136" i="4032"/>
  <c r="L136" i="4032"/>
  <c r="G136" i="4032"/>
  <c r="S135" i="4032"/>
  <c r="N135" i="4032"/>
  <c r="J135" i="4032"/>
  <c r="E135" i="4032"/>
  <c r="S136" i="4032"/>
  <c r="O136" i="4032"/>
  <c r="J136" i="4032"/>
  <c r="F136" i="4032"/>
  <c r="Q135" i="4032"/>
  <c r="M135" i="4032"/>
  <c r="H135" i="4032"/>
  <c r="AI130" i="4033"/>
  <c r="AI132" i="4033" s="1"/>
  <c r="AB128" i="4031"/>
  <c r="AC128" i="4032"/>
  <c r="K126" i="4032"/>
  <c r="AR115" i="4031"/>
  <c r="AQ115" i="4030"/>
  <c r="AN115" i="4030"/>
  <c r="AK115" i="4030"/>
  <c r="AH115" i="4030"/>
  <c r="AE115" i="4030"/>
  <c r="AB115" i="4030"/>
  <c r="Y115" i="4030"/>
  <c r="V115" i="4030"/>
  <c r="V118" i="4030" s="1"/>
  <c r="S115" i="4030"/>
  <c r="P115" i="4030"/>
  <c r="M115" i="4030"/>
  <c r="J115" i="4030"/>
  <c r="G115" i="4030"/>
  <c r="AG126" i="4030"/>
  <c r="F126" i="4030"/>
  <c r="H126" i="4030"/>
  <c r="AI118" i="4027"/>
  <c r="U115" i="4026"/>
  <c r="AM115" i="4026"/>
  <c r="AA118" i="4025"/>
  <c r="F118" i="4024"/>
  <c r="F120" i="4024" s="1"/>
  <c r="AD118" i="4023"/>
  <c r="AM128" i="4027"/>
  <c r="Z115" i="4026"/>
  <c r="T128" i="4026"/>
  <c r="C159" i="4024"/>
  <c r="E118" i="4024"/>
  <c r="E120" i="4024" s="1"/>
  <c r="E115" i="4026"/>
  <c r="G131" i="4025"/>
  <c r="T126" i="4025"/>
  <c r="K126" i="4025"/>
  <c r="D144" i="4024"/>
  <c r="Q136" i="4022"/>
  <c r="N136" i="4022"/>
  <c r="K136" i="4022"/>
  <c r="H136" i="4022"/>
  <c r="E136" i="4022"/>
  <c r="R135" i="4022"/>
  <c r="O135" i="4022"/>
  <c r="L135" i="4022"/>
  <c r="I135" i="4022"/>
  <c r="F135" i="4022"/>
  <c r="D143" i="4022"/>
  <c r="S136" i="4022"/>
  <c r="P136" i="4022"/>
  <c r="M136" i="4022"/>
  <c r="J136" i="4022"/>
  <c r="G136" i="4022"/>
  <c r="Q135" i="4022"/>
  <c r="N135" i="4022"/>
  <c r="K135" i="4022"/>
  <c r="H135" i="4022"/>
  <c r="E135" i="4022"/>
  <c r="R136" i="4022"/>
  <c r="O136" i="4022"/>
  <c r="L136" i="4022"/>
  <c r="I136" i="4022"/>
  <c r="F136" i="4022"/>
  <c r="S135" i="4022"/>
  <c r="P135" i="4022"/>
  <c r="M135" i="4022"/>
  <c r="J135" i="4022"/>
  <c r="G135" i="4022"/>
  <c r="Y118" i="4019"/>
  <c r="P126" i="4025"/>
  <c r="AK128" i="4024"/>
  <c r="J128" i="4024"/>
  <c r="U126" i="4023"/>
  <c r="V131" i="4023"/>
  <c r="Q128" i="4023"/>
  <c r="AI126" i="4023"/>
  <c r="D144" i="4023"/>
  <c r="H145" i="4036"/>
  <c r="H131" i="4036"/>
  <c r="AP128" i="4036"/>
  <c r="AF118" i="4036"/>
  <c r="C159" i="4036"/>
  <c r="E118" i="4036"/>
  <c r="E120" i="4036" s="1"/>
  <c r="AI128" i="4036"/>
  <c r="Z128" i="4036"/>
  <c r="Q128" i="4036"/>
  <c r="H128" i="4036"/>
  <c r="M128" i="4036"/>
  <c r="I126" i="4036"/>
  <c r="AO118" i="4036"/>
  <c r="AC118" i="4036"/>
  <c r="M131" i="4036"/>
  <c r="Q126" i="4036"/>
  <c r="F128" i="4036"/>
  <c r="P126" i="4036"/>
  <c r="Z118" i="4035"/>
  <c r="AR128" i="4035"/>
  <c r="AF118" i="4035"/>
  <c r="AD126" i="4035"/>
  <c r="AD130" i="4035" s="1"/>
  <c r="AD132" i="4035" s="1"/>
  <c r="AM118" i="4034"/>
  <c r="AD118" i="4034"/>
  <c r="L118" i="4034"/>
  <c r="C159" i="4034"/>
  <c r="E118" i="4034"/>
  <c r="E120" i="4034" s="1"/>
  <c r="D143" i="4034"/>
  <c r="S136" i="4034"/>
  <c r="P136" i="4034"/>
  <c r="M136" i="4034"/>
  <c r="J136" i="4034"/>
  <c r="G136" i="4034"/>
  <c r="Q135" i="4034"/>
  <c r="N135" i="4034"/>
  <c r="K135" i="4034"/>
  <c r="H135" i="4034"/>
  <c r="E135" i="4034"/>
  <c r="Q136" i="4034"/>
  <c r="L136" i="4034"/>
  <c r="H136" i="4034"/>
  <c r="P135" i="4034"/>
  <c r="L135" i="4034"/>
  <c r="G135" i="4034"/>
  <c r="O136" i="4034"/>
  <c r="K136" i="4034"/>
  <c r="F136" i="4034"/>
  <c r="S135" i="4034"/>
  <c r="O135" i="4034"/>
  <c r="J135" i="4034"/>
  <c r="F135" i="4034"/>
  <c r="R136" i="4034"/>
  <c r="N136" i="4034"/>
  <c r="I136" i="4034"/>
  <c r="E136" i="4034"/>
  <c r="R135" i="4034"/>
  <c r="M135" i="4034"/>
  <c r="I135" i="4034"/>
  <c r="K128" i="4034"/>
  <c r="AE126" i="4034"/>
  <c r="V126" i="4034"/>
  <c r="M126" i="4034"/>
  <c r="AL115" i="4033"/>
  <c r="AC115" i="4033"/>
  <c r="T115" i="4033"/>
  <c r="T118" i="4033" s="1"/>
  <c r="T120" i="4033" s="1"/>
  <c r="K115" i="4033"/>
  <c r="AI130" i="4034"/>
  <c r="AI132" i="4034" s="1"/>
  <c r="Z130" i="4034"/>
  <c r="Z132" i="4034" s="1"/>
  <c r="S128" i="4034"/>
  <c r="X126" i="4034"/>
  <c r="O126" i="4034"/>
  <c r="AK115" i="4033"/>
  <c r="AB115" i="4033"/>
  <c r="S115" i="4033"/>
  <c r="J115" i="4033"/>
  <c r="D144" i="4033"/>
  <c r="AN130" i="4034"/>
  <c r="AN132" i="4034" s="1"/>
  <c r="M131" i="4034"/>
  <c r="Q128" i="4034"/>
  <c r="Q126" i="4034"/>
  <c r="H126" i="4034"/>
  <c r="AJ115" i="4033"/>
  <c r="AA115" i="4033"/>
  <c r="R115" i="4033"/>
  <c r="C159" i="4032"/>
  <c r="AI115" i="4031"/>
  <c r="Z115" i="4031"/>
  <c r="Q115" i="4031"/>
  <c r="H115" i="4031"/>
  <c r="Q128" i="4033"/>
  <c r="K128" i="4032"/>
  <c r="AN115" i="4031"/>
  <c r="AE115" i="4031"/>
  <c r="V115" i="4031"/>
  <c r="V118" i="4031" s="1"/>
  <c r="M115" i="4031"/>
  <c r="W128" i="4031"/>
  <c r="V126" i="4033"/>
  <c r="P128" i="4032"/>
  <c r="AP115" i="4031"/>
  <c r="AG115" i="4031"/>
  <c r="X115" i="4031"/>
  <c r="O115" i="4031"/>
  <c r="AL115" i="4030"/>
  <c r="AC115" i="4030"/>
  <c r="T115" i="4030"/>
  <c r="T118" i="4030" s="1"/>
  <c r="T120" i="4030" s="1"/>
  <c r="K115" i="4030"/>
  <c r="U128" i="4031"/>
  <c r="L126" i="4031"/>
  <c r="D143" i="4031"/>
  <c r="S136" i="4031"/>
  <c r="P136" i="4031"/>
  <c r="M136" i="4031"/>
  <c r="J136" i="4031"/>
  <c r="G136" i="4031"/>
  <c r="Q135" i="4031"/>
  <c r="N135" i="4031"/>
  <c r="K135" i="4031"/>
  <c r="H135" i="4031"/>
  <c r="E135" i="4031"/>
  <c r="R136" i="4031"/>
  <c r="O136" i="4031"/>
  <c r="L136" i="4031"/>
  <c r="I136" i="4031"/>
  <c r="F136" i="4031"/>
  <c r="S135" i="4031"/>
  <c r="P135" i="4031"/>
  <c r="M135" i="4031"/>
  <c r="J135" i="4031"/>
  <c r="G135" i="4031"/>
  <c r="Q136" i="4031"/>
  <c r="N136" i="4031"/>
  <c r="K136" i="4031"/>
  <c r="H136" i="4031"/>
  <c r="E136" i="4031"/>
  <c r="R135" i="4031"/>
  <c r="O135" i="4031"/>
  <c r="L135" i="4031"/>
  <c r="I135" i="4031"/>
  <c r="F135" i="4031"/>
  <c r="D144" i="4031"/>
  <c r="AN128" i="4032"/>
  <c r="V126" i="4032"/>
  <c r="W126" i="4031"/>
  <c r="AJ115" i="4030"/>
  <c r="AA115" i="4030"/>
  <c r="R115" i="4030"/>
  <c r="I115" i="4030"/>
  <c r="AQ115" i="4029"/>
  <c r="AN115" i="4029"/>
  <c r="AK115" i="4029"/>
  <c r="AH115" i="4029"/>
  <c r="AE115" i="4029"/>
  <c r="AB115" i="4029"/>
  <c r="Y115" i="4029"/>
  <c r="V115" i="4029"/>
  <c r="V118" i="4029" s="1"/>
  <c r="S115" i="4029"/>
  <c r="P115" i="4029"/>
  <c r="M115" i="4029"/>
  <c r="J115" i="4029"/>
  <c r="G115" i="4029"/>
  <c r="AR115" i="4029"/>
  <c r="C159" i="4028"/>
  <c r="AC118" i="4027"/>
  <c r="AR115" i="4030"/>
  <c r="AK115" i="4028"/>
  <c r="AB115" i="4028"/>
  <c r="S115" i="4028"/>
  <c r="AK115" i="4027"/>
  <c r="AB115" i="4027"/>
  <c r="S115" i="4027"/>
  <c r="I128" i="4028"/>
  <c r="L126" i="4027"/>
  <c r="Q136" i="4027"/>
  <c r="N136" i="4027"/>
  <c r="K136" i="4027"/>
  <c r="H136" i="4027"/>
  <c r="E136" i="4027"/>
  <c r="R135" i="4027"/>
  <c r="O135" i="4027"/>
  <c r="L135" i="4027"/>
  <c r="I135" i="4027"/>
  <c r="F135" i="4027"/>
  <c r="D143" i="4027"/>
  <c r="S136" i="4027"/>
  <c r="P136" i="4027"/>
  <c r="M136" i="4027"/>
  <c r="J136" i="4027"/>
  <c r="G136" i="4027"/>
  <c r="Q135" i="4027"/>
  <c r="N135" i="4027"/>
  <c r="K135" i="4027"/>
  <c r="H135" i="4027"/>
  <c r="E135" i="4027"/>
  <c r="R136" i="4027"/>
  <c r="O136" i="4027"/>
  <c r="L136" i="4027"/>
  <c r="I136" i="4027"/>
  <c r="F136" i="4027"/>
  <c r="S135" i="4027"/>
  <c r="P135" i="4027"/>
  <c r="M135" i="4027"/>
  <c r="J135" i="4027"/>
  <c r="G135" i="4027"/>
  <c r="D144" i="4027"/>
  <c r="AC115" i="4026"/>
  <c r="S128" i="4026"/>
  <c r="G115" i="4026"/>
  <c r="P115" i="4026"/>
  <c r="Y115" i="4026"/>
  <c r="AH115" i="4026"/>
  <c r="AQ115" i="4026"/>
  <c r="I115" i="4026"/>
  <c r="R115" i="4026"/>
  <c r="AA115" i="4026"/>
  <c r="AJ115" i="4026"/>
  <c r="AM118" i="4025"/>
  <c r="AD118" i="4025"/>
  <c r="L118" i="4025"/>
  <c r="AJ118" i="4024"/>
  <c r="AA118" i="4024"/>
  <c r="R118" i="4024"/>
  <c r="R120" i="4024" s="1"/>
  <c r="I118" i="4024"/>
  <c r="AG118" i="4023"/>
  <c r="O118" i="4023"/>
  <c r="F118" i="4023"/>
  <c r="AH130" i="4027"/>
  <c r="AH132" i="4027" s="1"/>
  <c r="AI115" i="4026"/>
  <c r="H115" i="4026"/>
  <c r="C159" i="4025"/>
  <c r="E118" i="4025"/>
  <c r="E120" i="4025" s="1"/>
  <c r="I128" i="4025"/>
  <c r="L128" i="4024"/>
  <c r="X128" i="4023"/>
  <c r="P126" i="4028"/>
  <c r="R131" i="4027"/>
  <c r="AO115" i="4026"/>
  <c r="W128" i="4024"/>
  <c r="N128" i="4024"/>
  <c r="S131" i="4025"/>
  <c r="J131" i="4025"/>
  <c r="AO126" i="4025"/>
  <c r="D144" i="4025"/>
  <c r="Q136" i="4025"/>
  <c r="N136" i="4025"/>
  <c r="K136" i="4025"/>
  <c r="H136" i="4025"/>
  <c r="E136" i="4025"/>
  <c r="R135" i="4025"/>
  <c r="O135" i="4025"/>
  <c r="L135" i="4025"/>
  <c r="I135" i="4025"/>
  <c r="F135" i="4025"/>
  <c r="R136" i="4025"/>
  <c r="O136" i="4025"/>
  <c r="L136" i="4025"/>
  <c r="I136" i="4025"/>
  <c r="F136" i="4025"/>
  <c r="S135" i="4025"/>
  <c r="P135" i="4025"/>
  <c r="M135" i="4025"/>
  <c r="J135" i="4025"/>
  <c r="G135" i="4025"/>
  <c r="D143" i="4025"/>
  <c r="M136" i="4025"/>
  <c r="K135" i="4025"/>
  <c r="S136" i="4025"/>
  <c r="J136" i="4025"/>
  <c r="Q135" i="4025"/>
  <c r="H135" i="4025"/>
  <c r="P136" i="4025"/>
  <c r="G136" i="4025"/>
  <c r="N135" i="4025"/>
  <c r="E135" i="4025"/>
  <c r="M128" i="4024"/>
  <c r="AQ130" i="4023"/>
  <c r="AQ132" i="4023" s="1"/>
  <c r="AH130" i="4023"/>
  <c r="AH132" i="4023" s="1"/>
  <c r="AL128" i="4023"/>
  <c r="K128" i="4023"/>
  <c r="V126" i="4023"/>
  <c r="M126" i="4023"/>
  <c r="J128" i="4022"/>
  <c r="S131" i="4022"/>
  <c r="J131" i="4022"/>
  <c r="D143" i="4021"/>
  <c r="S136" i="4021"/>
  <c r="P136" i="4021"/>
  <c r="M136" i="4021"/>
  <c r="J136" i="4021"/>
  <c r="G136" i="4021"/>
  <c r="Q135" i="4021"/>
  <c r="N135" i="4021"/>
  <c r="K135" i="4021"/>
  <c r="H135" i="4021"/>
  <c r="E135" i="4021"/>
  <c r="R136" i="4021"/>
  <c r="O136" i="4021"/>
  <c r="L136" i="4021"/>
  <c r="I136" i="4021"/>
  <c r="F136" i="4021"/>
  <c r="S135" i="4021"/>
  <c r="P135" i="4021"/>
  <c r="M135" i="4021"/>
  <c r="J135" i="4021"/>
  <c r="G135" i="4021"/>
  <c r="N136" i="4021"/>
  <c r="E136" i="4021"/>
  <c r="O135" i="4021"/>
  <c r="F135" i="4021"/>
  <c r="K136" i="4021"/>
  <c r="L135" i="4021"/>
  <c r="Q136" i="4021"/>
  <c r="H136" i="4021"/>
  <c r="R135" i="4021"/>
  <c r="I135" i="4021"/>
  <c r="AK115" i="4019"/>
  <c r="AB115" i="4019"/>
  <c r="S115" i="4019"/>
  <c r="J115" i="4019"/>
  <c r="AF130" i="4025"/>
  <c r="AF132" i="4025" s="1"/>
  <c r="T128" i="4025"/>
  <c r="G128" i="4025"/>
  <c r="AB126" i="4025"/>
  <c r="AB130" i="4025" s="1"/>
  <c r="AB132" i="4025" s="1"/>
  <c r="S126" i="4025"/>
  <c r="J126" i="4025"/>
  <c r="AO128" i="4024"/>
  <c r="AF128" i="4024"/>
  <c r="S128" i="4024"/>
  <c r="W126" i="4024"/>
  <c r="N126" i="4024"/>
  <c r="S128" i="4023"/>
  <c r="X126" i="4023"/>
  <c r="AA118" i="4022"/>
  <c r="AJ115" i="4019"/>
  <c r="AA115" i="4019"/>
  <c r="R115" i="4019"/>
  <c r="I115" i="4019"/>
  <c r="N128" i="4025"/>
  <c r="U126" i="4025"/>
  <c r="S131" i="4024"/>
  <c r="G128" i="4024"/>
  <c r="S126" i="4024"/>
  <c r="J126" i="4024"/>
  <c r="AC130" i="4023"/>
  <c r="AC132" i="4023" s="1"/>
  <c r="G131" i="4023"/>
  <c r="H128" i="4023"/>
  <c r="K126" i="4023"/>
  <c r="AP118" i="4022"/>
  <c r="O118" i="4022"/>
  <c r="O120" i="4022" s="1"/>
  <c r="K131" i="4022"/>
  <c r="X126" i="4022"/>
  <c r="AR115" i="4021"/>
  <c r="AI115" i="4021"/>
  <c r="Z115" i="4021"/>
  <c r="Q115" i="4021"/>
  <c r="H115" i="4021"/>
  <c r="AO115" i="4020"/>
  <c r="AF115" i="4020"/>
  <c r="W115" i="4020"/>
  <c r="N115" i="4020"/>
  <c r="E115" i="4020"/>
  <c r="AL115" i="4019"/>
  <c r="AC115" i="4019"/>
  <c r="T115" i="4019"/>
  <c r="AR115" i="4018"/>
  <c r="AI115" i="4018"/>
  <c r="Z115" i="4018"/>
  <c r="Q115" i="4018"/>
  <c r="H115" i="4018"/>
  <c r="AF128" i="4022"/>
  <c r="D144" i="4019"/>
  <c r="R136" i="4019"/>
  <c r="O136" i="4019"/>
  <c r="L136" i="4019"/>
  <c r="I136" i="4019"/>
  <c r="F136" i="4019"/>
  <c r="S135" i="4019"/>
  <c r="P135" i="4019"/>
  <c r="M135" i="4019"/>
  <c r="J135" i="4019"/>
  <c r="G135" i="4019"/>
  <c r="Q136" i="4019"/>
  <c r="N136" i="4019"/>
  <c r="K136" i="4019"/>
  <c r="H136" i="4019"/>
  <c r="E136" i="4019"/>
  <c r="R135" i="4019"/>
  <c r="O135" i="4019"/>
  <c r="L135" i="4019"/>
  <c r="I135" i="4019"/>
  <c r="F135" i="4019"/>
  <c r="D143" i="4019"/>
  <c r="S136" i="4019"/>
  <c r="P136" i="4019"/>
  <c r="M136" i="4019"/>
  <c r="J136" i="4019"/>
  <c r="G136" i="4019"/>
  <c r="Q135" i="4019"/>
  <c r="N135" i="4019"/>
  <c r="K135" i="4019"/>
  <c r="H135" i="4019"/>
  <c r="E135" i="4019"/>
  <c r="I128" i="4018"/>
  <c r="G128" i="4022"/>
  <c r="S126" i="4022"/>
  <c r="M128" i="4022"/>
  <c r="N126" i="4022"/>
  <c r="AP115" i="4021"/>
  <c r="P128" i="4022"/>
  <c r="AG130" i="4021"/>
  <c r="AG132" i="4021" s="1"/>
  <c r="K126" i="4020"/>
  <c r="R126" i="4018"/>
  <c r="J8" i="65"/>
  <c r="O25" i="65"/>
  <c r="J11" i="65"/>
  <c r="P26" i="65"/>
  <c r="O18" i="65"/>
  <c r="O19" i="65"/>
  <c r="O16" i="65"/>
  <c r="P25" i="65"/>
  <c r="O22" i="65"/>
  <c r="P9" i="65"/>
  <c r="P28" i="65"/>
  <c r="P20" i="65"/>
  <c r="P12" i="65"/>
  <c r="Z16" i="65"/>
  <c r="P10" i="65"/>
  <c r="O23" i="65"/>
  <c r="P13" i="65"/>
  <c r="J9" i="65"/>
  <c r="P22" i="65"/>
  <c r="P27" i="65"/>
  <c r="P19" i="65"/>
  <c r="O26" i="65"/>
  <c r="O24" i="65"/>
  <c r="P18" i="65"/>
  <c r="P11" i="65"/>
  <c r="P17" i="65"/>
  <c r="O20" i="65"/>
  <c r="P23" i="65"/>
  <c r="P24" i="65"/>
  <c r="O17" i="65"/>
  <c r="P21" i="65"/>
  <c r="P8" i="65"/>
  <c r="O21" i="65"/>
  <c r="O27" i="65"/>
  <c r="J10" i="65"/>
  <c r="J13" i="65"/>
  <c r="P16" i="65"/>
  <c r="J12" i="65"/>
  <c r="P14" i="65"/>
  <c r="O28" i="65"/>
  <c r="J14" i="65"/>
  <c r="H8" i="65" l="1"/>
  <c r="L128" i="4021"/>
  <c r="V126" i="4020"/>
  <c r="AM126" i="4020"/>
  <c r="S118" i="4018"/>
  <c r="I126" i="4035"/>
  <c r="I120" i="4035"/>
  <c r="I131" i="4035" s="1"/>
  <c r="M128" i="4035"/>
  <c r="AP126" i="4035"/>
  <c r="G128" i="4035"/>
  <c r="I128" i="4035"/>
  <c r="Z128" i="4030"/>
  <c r="AL130" i="4024"/>
  <c r="AL132" i="4024" s="1"/>
  <c r="C159" i="4035"/>
  <c r="Q128" i="4030"/>
  <c r="Q130" i="4030" s="1"/>
  <c r="F128" i="4033"/>
  <c r="O128" i="4034"/>
  <c r="O126" i="4019"/>
  <c r="O130" i="4019" s="1"/>
  <c r="AG128" i="4028"/>
  <c r="AB130" i="4031"/>
  <c r="AB132" i="4031" s="1"/>
  <c r="AB139" i="4031" s="1"/>
  <c r="AB140" i="4031" s="1"/>
  <c r="Z128" i="4032"/>
  <c r="AG128" i="4019"/>
  <c r="Z118" i="4027"/>
  <c r="G130" i="4035"/>
  <c r="AR130" i="4024"/>
  <c r="AR132" i="4024" s="1"/>
  <c r="R128" i="4025"/>
  <c r="AD126" i="4027"/>
  <c r="F126" i="4029"/>
  <c r="W126" i="4032"/>
  <c r="O130" i="4033"/>
  <c r="AO128" i="4031"/>
  <c r="O128" i="4024"/>
  <c r="L128" i="4035"/>
  <c r="L130" i="4035" s="1"/>
  <c r="AA126" i="4027"/>
  <c r="V130" i="4035"/>
  <c r="AK130" i="4036"/>
  <c r="AK132" i="4036" s="1"/>
  <c r="AE130" i="4036"/>
  <c r="AE132" i="4036" s="1"/>
  <c r="AE139" i="4036" s="1"/>
  <c r="AE140" i="4036" s="1"/>
  <c r="AE143" i="4036" s="1"/>
  <c r="AO130" i="4022"/>
  <c r="AO132" i="4022" s="1"/>
  <c r="AQ130" i="4035"/>
  <c r="AQ132" i="4035" s="1"/>
  <c r="F137" i="4029"/>
  <c r="AE130" i="4025"/>
  <c r="AE132" i="4025" s="1"/>
  <c r="R128" i="4035"/>
  <c r="R130" i="4035" s="1"/>
  <c r="R132" i="4035" s="1"/>
  <c r="R139" i="4035" s="1"/>
  <c r="Q118" i="4027"/>
  <c r="Q120" i="4027" s="1"/>
  <c r="AF128" i="4031"/>
  <c r="H130" i="4022"/>
  <c r="X126" i="4019"/>
  <c r="U130" i="4021"/>
  <c r="AG126" i="4035"/>
  <c r="AD130" i="4036"/>
  <c r="AD132" i="4036" s="1"/>
  <c r="AD139" i="4036" s="1"/>
  <c r="AD140" i="4036" s="1"/>
  <c r="AN130" i="4036"/>
  <c r="AN132" i="4036" s="1"/>
  <c r="AN139" i="4036" s="1"/>
  <c r="AN140" i="4036" s="1"/>
  <c r="AN143" i="4036" s="1"/>
  <c r="AI126" i="4030"/>
  <c r="AI130" i="4030" s="1"/>
  <c r="AI132" i="4030" s="1"/>
  <c r="AK128" i="4031"/>
  <c r="AQ118" i="4033"/>
  <c r="AQ126" i="4033" s="1"/>
  <c r="P128" i="4035"/>
  <c r="Q120" i="4033"/>
  <c r="Q131" i="4033" s="1"/>
  <c r="G128" i="4028"/>
  <c r="AM126" i="4031"/>
  <c r="H126" i="4033"/>
  <c r="O128" i="4018"/>
  <c r="AM126" i="4021"/>
  <c r="AL130" i="4022"/>
  <c r="AL132" i="4022" s="1"/>
  <c r="O126" i="4027"/>
  <c r="N128" i="4028"/>
  <c r="N130" i="4028" s="1"/>
  <c r="H126" i="4029"/>
  <c r="AD128" i="4029"/>
  <c r="AD128" i="4031"/>
  <c r="AI128" i="4032"/>
  <c r="J128" i="4032"/>
  <c r="H128" i="4033"/>
  <c r="U130" i="4025"/>
  <c r="G130" i="4028"/>
  <c r="E118" i="4028"/>
  <c r="E120" i="4028" s="1"/>
  <c r="Q126" i="4033"/>
  <c r="E118" i="4032"/>
  <c r="E120" i="4032" s="1"/>
  <c r="L126" i="4035"/>
  <c r="H130" i="4029"/>
  <c r="AP126" i="4027"/>
  <c r="S128" i="4032"/>
  <c r="Y130" i="4036"/>
  <c r="Y132" i="4036" s="1"/>
  <c r="X128" i="4019"/>
  <c r="Y128" i="4035"/>
  <c r="AR130" i="4023"/>
  <c r="AR132" i="4023" s="1"/>
  <c r="V120" i="4021"/>
  <c r="V131" i="4021" s="1"/>
  <c r="R126" i="4023"/>
  <c r="R120" i="4023"/>
  <c r="J128" i="4020"/>
  <c r="J120" i="4020"/>
  <c r="L126" i="4023"/>
  <c r="L120" i="4023"/>
  <c r="L131" i="4023" s="1"/>
  <c r="O145" i="4019"/>
  <c r="O120" i="4019"/>
  <c r="O131" i="4019" s="1"/>
  <c r="M128" i="4018"/>
  <c r="M120" i="4018"/>
  <c r="M131" i="4018" s="1"/>
  <c r="O145" i="4018"/>
  <c r="O120" i="4018"/>
  <c r="O131" i="4018" s="1"/>
  <c r="I145" i="4021"/>
  <c r="I120" i="4021"/>
  <c r="I131" i="4021" s="1"/>
  <c r="U120" i="4021"/>
  <c r="U131" i="4021" s="1"/>
  <c r="S130" i="4025"/>
  <c r="AK130" i="4024"/>
  <c r="AK132" i="4024" s="1"/>
  <c r="AK139" i="4024" s="1"/>
  <c r="AK140" i="4024" s="1"/>
  <c r="O126" i="4023"/>
  <c r="O120" i="4023"/>
  <c r="S128" i="4018"/>
  <c r="S120" i="4018"/>
  <c r="G128" i="4020"/>
  <c r="G120" i="4020"/>
  <c r="I128" i="4023"/>
  <c r="I120" i="4023"/>
  <c r="L130" i="4027"/>
  <c r="P130" i="4028"/>
  <c r="L126" i="4018"/>
  <c r="L120" i="4018"/>
  <c r="I145" i="4018"/>
  <c r="I120" i="4018"/>
  <c r="P128" i="4020"/>
  <c r="P120" i="4020"/>
  <c r="P131" i="4020" s="1"/>
  <c r="N145" i="4021"/>
  <c r="N120" i="4021"/>
  <c r="O126" i="4021"/>
  <c r="O120" i="4021"/>
  <c r="K145" i="4020"/>
  <c r="K120" i="4020"/>
  <c r="K131" i="4020" s="1"/>
  <c r="F126" i="4023"/>
  <c r="F120" i="4023"/>
  <c r="F145" i="4019"/>
  <c r="F120" i="4019"/>
  <c r="F131" i="4019" s="1"/>
  <c r="L145" i="4020"/>
  <c r="L120" i="4020"/>
  <c r="L145" i="4021"/>
  <c r="L120" i="4021"/>
  <c r="L131" i="4021" s="1"/>
  <c r="F120" i="4021"/>
  <c r="F131" i="4021" s="1"/>
  <c r="R145" i="4021"/>
  <c r="R120" i="4021"/>
  <c r="R131" i="4021" s="1"/>
  <c r="R145" i="4018"/>
  <c r="R120" i="4018"/>
  <c r="R131" i="4018" s="1"/>
  <c r="G128" i="4019"/>
  <c r="G120" i="4019"/>
  <c r="AQ130" i="4024"/>
  <c r="AQ132" i="4024" s="1"/>
  <c r="AQ139" i="4024" s="1"/>
  <c r="AQ140" i="4024" s="1"/>
  <c r="U130" i="4036"/>
  <c r="U132" i="4036" s="1"/>
  <c r="AI130" i="4036"/>
  <c r="AI132" i="4036" s="1"/>
  <c r="X120" i="4035"/>
  <c r="X131" i="4035" s="1"/>
  <c r="R145" i="4035"/>
  <c r="R120" i="4035"/>
  <c r="R131" i="4035" s="1"/>
  <c r="AK130" i="4035"/>
  <c r="AK132" i="4035" s="1"/>
  <c r="AK139" i="4035" s="1"/>
  <c r="AK140" i="4035" s="1"/>
  <c r="AK143" i="4035" s="1"/>
  <c r="W120" i="4035"/>
  <c r="W131" i="4035" s="1"/>
  <c r="V126" i="4035"/>
  <c r="V120" i="4035"/>
  <c r="V131" i="4035" s="1"/>
  <c r="P145" i="4035"/>
  <c r="P120" i="4035"/>
  <c r="P131" i="4035" s="1"/>
  <c r="G145" i="4035"/>
  <c r="G120" i="4035"/>
  <c r="G131" i="4035" s="1"/>
  <c r="O145" i="4035"/>
  <c r="O120" i="4035"/>
  <c r="O131" i="4035" s="1"/>
  <c r="F145" i="4035"/>
  <c r="F120" i="4035"/>
  <c r="T120" i="4035"/>
  <c r="T131" i="4035" s="1"/>
  <c r="R126" i="4034"/>
  <c r="R130" i="4034" s="1"/>
  <c r="R120" i="4034"/>
  <c r="L128" i="4034"/>
  <c r="L120" i="4034"/>
  <c r="L131" i="4034" s="1"/>
  <c r="F128" i="4034"/>
  <c r="F120" i="4034"/>
  <c r="F131" i="4034" s="1"/>
  <c r="N130" i="4034"/>
  <c r="N132" i="4034" s="1"/>
  <c r="W130" i="4034"/>
  <c r="W132" i="4034" s="1"/>
  <c r="V120" i="4033"/>
  <c r="V131" i="4033" s="1"/>
  <c r="P126" i="4033"/>
  <c r="P120" i="4033"/>
  <c r="P131" i="4033" s="1"/>
  <c r="X128" i="4033"/>
  <c r="X130" i="4033" s="1"/>
  <c r="X120" i="4033"/>
  <c r="X131" i="4033" s="1"/>
  <c r="O145" i="4033"/>
  <c r="O120" i="4033"/>
  <c r="O131" i="4033" s="1"/>
  <c r="F145" i="4033"/>
  <c r="F120" i="4033"/>
  <c r="F131" i="4033" s="1"/>
  <c r="G145" i="4032"/>
  <c r="G120" i="4032"/>
  <c r="G131" i="4032" s="1"/>
  <c r="V120" i="4032"/>
  <c r="V131" i="4032" s="1"/>
  <c r="W120" i="4032"/>
  <c r="W131" i="4032" s="1"/>
  <c r="H145" i="4032"/>
  <c r="H120" i="4032"/>
  <c r="H131" i="4032" s="1"/>
  <c r="R145" i="4032"/>
  <c r="R120" i="4032"/>
  <c r="R131" i="4032" s="1"/>
  <c r="K145" i="4032"/>
  <c r="K120" i="4032"/>
  <c r="K131" i="4032" s="1"/>
  <c r="T126" i="4032"/>
  <c r="T120" i="4032"/>
  <c r="T131" i="4032" s="1"/>
  <c r="Q145" i="4032"/>
  <c r="Q120" i="4032"/>
  <c r="Q131" i="4032" s="1"/>
  <c r="M145" i="4032"/>
  <c r="M120" i="4032"/>
  <c r="M131" i="4032" s="1"/>
  <c r="Q126" i="4032"/>
  <c r="AE128" i="4032"/>
  <c r="R126" i="4032"/>
  <c r="P145" i="4032"/>
  <c r="P120" i="4032"/>
  <c r="P131" i="4032" s="1"/>
  <c r="S145" i="4031"/>
  <c r="S120" i="4031"/>
  <c r="S131" i="4031" s="1"/>
  <c r="J145" i="4031"/>
  <c r="J120" i="4031"/>
  <c r="J131" i="4031" s="1"/>
  <c r="AK130" i="4031"/>
  <c r="AK132" i="4031" s="1"/>
  <c r="N145" i="4031"/>
  <c r="N120" i="4031"/>
  <c r="W120" i="4031"/>
  <c r="W131" i="4031" s="1"/>
  <c r="T120" i="4031"/>
  <c r="T131" i="4031" s="1"/>
  <c r="L145" i="4031"/>
  <c r="L120" i="4031"/>
  <c r="L131" i="4031" s="1"/>
  <c r="U126" i="4031"/>
  <c r="U130" i="4031" s="1"/>
  <c r="U120" i="4031"/>
  <c r="U131" i="4031" s="1"/>
  <c r="V120" i="4031"/>
  <c r="V131" i="4031" s="1"/>
  <c r="H145" i="4030"/>
  <c r="H120" i="4030"/>
  <c r="H131" i="4030" s="1"/>
  <c r="F145" i="4030"/>
  <c r="F120" i="4030"/>
  <c r="F131" i="4030" s="1"/>
  <c r="Q145" i="4030"/>
  <c r="Q120" i="4030"/>
  <c r="Q131" i="4030" s="1"/>
  <c r="O145" i="4030"/>
  <c r="O120" i="4030"/>
  <c r="O131" i="4030" s="1"/>
  <c r="X128" i="4030"/>
  <c r="X130" i="4030" s="1"/>
  <c r="X132" i="4030" s="1"/>
  <c r="X139" i="4030" s="1"/>
  <c r="X140" i="4030" s="1"/>
  <c r="X142" i="4030" s="1"/>
  <c r="X144" i="4030" s="1"/>
  <c r="X120" i="4030"/>
  <c r="X131" i="4030" s="1"/>
  <c r="V120" i="4030"/>
  <c r="V131" i="4030" s="1"/>
  <c r="H145" i="4029"/>
  <c r="H120" i="4029"/>
  <c r="H131" i="4029" s="1"/>
  <c r="L145" i="4029"/>
  <c r="L120" i="4029"/>
  <c r="L131" i="4029" s="1"/>
  <c r="K128" i="4029"/>
  <c r="K120" i="4029"/>
  <c r="K131" i="4029" s="1"/>
  <c r="N126" i="4029"/>
  <c r="N120" i="4029"/>
  <c r="N131" i="4029" s="1"/>
  <c r="U126" i="4029"/>
  <c r="U120" i="4029"/>
  <c r="U131" i="4029" s="1"/>
  <c r="AF128" i="4029"/>
  <c r="V120" i="4029"/>
  <c r="V131" i="4029" s="1"/>
  <c r="Q145" i="4029"/>
  <c r="Q120" i="4029"/>
  <c r="Q131" i="4029" s="1"/>
  <c r="R145" i="4028"/>
  <c r="R120" i="4028"/>
  <c r="R131" i="4028" s="1"/>
  <c r="G145" i="4028"/>
  <c r="G120" i="4028"/>
  <c r="G131" i="4028" s="1"/>
  <c r="K145" i="4028"/>
  <c r="K120" i="4028"/>
  <c r="K131" i="4028" s="1"/>
  <c r="X120" i="4028"/>
  <c r="X131" i="4028" s="1"/>
  <c r="W120" i="4028"/>
  <c r="W131" i="4028" s="1"/>
  <c r="P145" i="4028"/>
  <c r="P120" i="4028"/>
  <c r="P131" i="4028" s="1"/>
  <c r="L145" i="4028"/>
  <c r="L120" i="4028"/>
  <c r="L131" i="4028" s="1"/>
  <c r="AC128" i="4028"/>
  <c r="I145" i="4028"/>
  <c r="I120" i="4028"/>
  <c r="I131" i="4028" s="1"/>
  <c r="U128" i="4028"/>
  <c r="T120" i="4028"/>
  <c r="T131" i="4028" s="1"/>
  <c r="W128" i="4027"/>
  <c r="W120" i="4027"/>
  <c r="P145" i="4027"/>
  <c r="P120" i="4027"/>
  <c r="P131" i="4027" s="1"/>
  <c r="T120" i="4027"/>
  <c r="T131" i="4027" s="1"/>
  <c r="I145" i="4027"/>
  <c r="I120" i="4027"/>
  <c r="I131" i="4027" s="1"/>
  <c r="X128" i="4027"/>
  <c r="X120" i="4027"/>
  <c r="X131" i="4027" s="1"/>
  <c r="H126" i="4027"/>
  <c r="H120" i="4027"/>
  <c r="H131" i="4027" s="1"/>
  <c r="L145" i="4027"/>
  <c r="L120" i="4027"/>
  <c r="L131" i="4027" s="1"/>
  <c r="G145" i="4027"/>
  <c r="G120" i="4027"/>
  <c r="AG128" i="4027"/>
  <c r="U126" i="4027"/>
  <c r="U130" i="4027" s="1"/>
  <c r="U120" i="4027"/>
  <c r="U131" i="4027" s="1"/>
  <c r="J145" i="4026"/>
  <c r="J120" i="4026"/>
  <c r="J131" i="4026" s="1"/>
  <c r="J126" i="4026"/>
  <c r="W128" i="4026"/>
  <c r="W120" i="4026"/>
  <c r="T120" i="4026"/>
  <c r="T131" i="4026" s="1"/>
  <c r="S145" i="4026"/>
  <c r="S120" i="4026"/>
  <c r="S131" i="4026" s="1"/>
  <c r="U132" i="4025"/>
  <c r="N145" i="4025"/>
  <c r="N120" i="4025"/>
  <c r="N131" i="4025" s="1"/>
  <c r="L126" i="4025"/>
  <c r="L120" i="4025"/>
  <c r="L131" i="4025" s="1"/>
  <c r="V132" i="4025"/>
  <c r="V139" i="4025" s="1"/>
  <c r="V140" i="4025" s="1"/>
  <c r="F128" i="4025"/>
  <c r="F120" i="4025"/>
  <c r="F131" i="4025" s="1"/>
  <c r="AH130" i="4024"/>
  <c r="AH132" i="4024" s="1"/>
  <c r="I126" i="4024"/>
  <c r="I120" i="4024"/>
  <c r="I131" i="4024" s="1"/>
  <c r="M130" i="4025"/>
  <c r="M132" i="4025" s="1"/>
  <c r="M139" i="4025" s="1"/>
  <c r="P130" i="4024"/>
  <c r="U143" i="4037"/>
  <c r="E137" i="4036"/>
  <c r="H137" i="4036"/>
  <c r="J130" i="4036"/>
  <c r="J132" i="4036" s="1"/>
  <c r="W126" i="4035"/>
  <c r="AB128" i="4035"/>
  <c r="AB130" i="4035" s="1"/>
  <c r="AB132" i="4035" s="1"/>
  <c r="AR130" i="4035"/>
  <c r="AR132" i="4035" s="1"/>
  <c r="AR139" i="4035" s="1"/>
  <c r="AR140" i="4035" s="1"/>
  <c r="AA118" i="4035"/>
  <c r="P130" i="4035"/>
  <c r="X130" i="4034"/>
  <c r="X132" i="4034" s="1"/>
  <c r="G118" i="4033"/>
  <c r="G126" i="4033" s="1"/>
  <c r="Z130" i="4032"/>
  <c r="Z132" i="4032" s="1"/>
  <c r="Z139" i="4032" s="1"/>
  <c r="Z140" i="4032" s="1"/>
  <c r="Z142" i="4032" s="1"/>
  <c r="Z144" i="4032" s="1"/>
  <c r="AB128" i="4032"/>
  <c r="AB130" i="4032" s="1"/>
  <c r="AB132" i="4032" s="1"/>
  <c r="AB139" i="4032" s="1"/>
  <c r="AB140" i="4032" s="1"/>
  <c r="AB143" i="4032" s="1"/>
  <c r="T128" i="4032"/>
  <c r="AJ128" i="4032"/>
  <c r="AJ130" i="4032" s="1"/>
  <c r="AJ132" i="4032" s="1"/>
  <c r="AJ139" i="4032" s="1"/>
  <c r="AJ140" i="4032" s="1"/>
  <c r="N126" i="4031"/>
  <c r="N131" i="4031"/>
  <c r="N128" i="4031"/>
  <c r="L126" i="4029"/>
  <c r="K118" i="4027"/>
  <c r="K145" i="4027" s="1"/>
  <c r="I128" i="4027"/>
  <c r="AJ128" i="4027"/>
  <c r="AA130" i="4027"/>
  <c r="AA132" i="4027" s="1"/>
  <c r="AA139" i="4027" s="1"/>
  <c r="AA140" i="4027" s="1"/>
  <c r="AA142" i="4027" s="1"/>
  <c r="AA144" i="4027" s="1"/>
  <c r="I126" i="4027"/>
  <c r="AR118" i="4027"/>
  <c r="X126" i="4027"/>
  <c r="Y130" i="4025"/>
  <c r="Y132" i="4025" s="1"/>
  <c r="Y139" i="4025" s="1"/>
  <c r="Y140" i="4025" s="1"/>
  <c r="AE130" i="4024"/>
  <c r="AE132" i="4024" s="1"/>
  <c r="AE139" i="4024" s="1"/>
  <c r="AE140" i="4024" s="1"/>
  <c r="V130" i="4022"/>
  <c r="V132" i="4022" s="1"/>
  <c r="V139" i="4022" s="1"/>
  <c r="V140" i="4022" s="1"/>
  <c r="S130" i="4022"/>
  <c r="S132" i="4022" s="1"/>
  <c r="S139" i="4022" s="1"/>
  <c r="N131" i="4021"/>
  <c r="AK118" i="4020"/>
  <c r="AK126" i="4020" s="1"/>
  <c r="AK130" i="4023"/>
  <c r="AK132" i="4023" s="1"/>
  <c r="AK139" i="4023" s="1"/>
  <c r="AK140" i="4023" s="1"/>
  <c r="AK142" i="4023" s="1"/>
  <c r="AK144" i="4023" s="1"/>
  <c r="U130" i="4024"/>
  <c r="U132" i="4024" s="1"/>
  <c r="O137" i="4035"/>
  <c r="T130" i="4024"/>
  <c r="T132" i="4024" s="1"/>
  <c r="T139" i="4024" s="1"/>
  <c r="T140" i="4024" s="1"/>
  <c r="T143" i="4024" s="1"/>
  <c r="Y130" i="4024"/>
  <c r="Y132" i="4024" s="1"/>
  <c r="Y139" i="4024" s="1"/>
  <c r="Y140" i="4024" s="1"/>
  <c r="Y142" i="4024" s="1"/>
  <c r="Y144" i="4024" s="1"/>
  <c r="AO128" i="4021"/>
  <c r="AO130" i="4021" s="1"/>
  <c r="AO132" i="4021" s="1"/>
  <c r="AO139" i="4021" s="1"/>
  <c r="AO140" i="4021" s="1"/>
  <c r="AO142" i="4021" s="1"/>
  <c r="AO144" i="4021" s="1"/>
  <c r="I126" i="4021"/>
  <c r="N128" i="4021"/>
  <c r="AJ128" i="4021"/>
  <c r="I128" i="4021"/>
  <c r="AJ130" i="4021"/>
  <c r="AJ132" i="4021" s="1"/>
  <c r="AJ139" i="4021" s="1"/>
  <c r="AJ140" i="4021" s="1"/>
  <c r="N126" i="4021"/>
  <c r="O128" i="4021"/>
  <c r="J143" i="4037"/>
  <c r="J142" i="4037"/>
  <c r="J144" i="4037" s="1"/>
  <c r="M142" i="4037"/>
  <c r="M144" i="4037" s="1"/>
  <c r="M143" i="4037"/>
  <c r="E144" i="4037"/>
  <c r="O142" i="4037"/>
  <c r="O144" i="4037" s="1"/>
  <c r="O143" i="4037"/>
  <c r="AP126" i="4019"/>
  <c r="P137" i="4034"/>
  <c r="J137" i="4030"/>
  <c r="F137" i="4033"/>
  <c r="M137" i="4033"/>
  <c r="G137" i="4027"/>
  <c r="K137" i="4027"/>
  <c r="I137" i="4029"/>
  <c r="P137" i="4029"/>
  <c r="G137" i="4028"/>
  <c r="AO130" i="4024"/>
  <c r="AO132" i="4024" s="1"/>
  <c r="AO139" i="4024" s="1"/>
  <c r="AO140" i="4024" s="1"/>
  <c r="L137" i="4035"/>
  <c r="I137" i="4033"/>
  <c r="P137" i="4033"/>
  <c r="J137" i="4027"/>
  <c r="L137" i="4030"/>
  <c r="S137" i="4030"/>
  <c r="O137" i="4031"/>
  <c r="J137" i="4028"/>
  <c r="S137" i="4024"/>
  <c r="H137" i="4025"/>
  <c r="Q137" i="4025"/>
  <c r="J128" i="4026"/>
  <c r="N137" i="4026"/>
  <c r="I137" i="4028"/>
  <c r="P137" i="4035"/>
  <c r="C85" i="4036"/>
  <c r="C84" i="4036"/>
  <c r="W130" i="4024"/>
  <c r="W132" i="4024" s="1"/>
  <c r="W139" i="4024" s="1"/>
  <c r="W140" i="4024" s="1"/>
  <c r="Z130" i="4024"/>
  <c r="Z132" i="4024" s="1"/>
  <c r="Z139" i="4024" s="1"/>
  <c r="Z140" i="4024" s="1"/>
  <c r="G137" i="4026"/>
  <c r="K137" i="4026"/>
  <c r="O137" i="4029"/>
  <c r="V128" i="4032"/>
  <c r="V130" i="4032" s="1"/>
  <c r="J137" i="4026"/>
  <c r="R137" i="4029"/>
  <c r="G137" i="4033"/>
  <c r="G137" i="4031"/>
  <c r="C85" i="4023"/>
  <c r="C84" i="4023"/>
  <c r="AQ130" i="4034"/>
  <c r="AQ132" i="4034" s="1"/>
  <c r="H130" i="4034"/>
  <c r="H132" i="4034" s="1"/>
  <c r="H139" i="4034" s="1"/>
  <c r="U130" i="4034"/>
  <c r="U132" i="4034" s="1"/>
  <c r="T126" i="4027"/>
  <c r="O137" i="4033"/>
  <c r="G137" i="4024"/>
  <c r="C85" i="4022"/>
  <c r="C84" i="4022"/>
  <c r="N137" i="4025"/>
  <c r="AN130" i="4024"/>
  <c r="AN132" i="4024" s="1"/>
  <c r="M137" i="4034"/>
  <c r="J137" i="4029"/>
  <c r="M137" i="4024"/>
  <c r="K118" i="4035"/>
  <c r="K120" i="4035" s="1"/>
  <c r="K130" i="4025"/>
  <c r="K132" i="4025" s="1"/>
  <c r="K139" i="4025" s="1"/>
  <c r="P137" i="4024"/>
  <c r="I130" i="4036"/>
  <c r="I132" i="4036" s="1"/>
  <c r="I139" i="4036" s="1"/>
  <c r="H130" i="4036"/>
  <c r="H132" i="4036" s="1"/>
  <c r="H139" i="4036" s="1"/>
  <c r="AJ130" i="4036"/>
  <c r="AJ132" i="4036" s="1"/>
  <c r="AJ139" i="4036" s="1"/>
  <c r="AJ140" i="4036" s="1"/>
  <c r="AR130" i="4036"/>
  <c r="AR132" i="4036" s="1"/>
  <c r="AR139" i="4036" s="1"/>
  <c r="AR140" i="4036" s="1"/>
  <c r="S130" i="4036"/>
  <c r="S132" i="4036" s="1"/>
  <c r="S139" i="4036" s="1"/>
  <c r="S140" i="4036" s="1"/>
  <c r="S143" i="4036" s="1"/>
  <c r="E137" i="4035"/>
  <c r="Q137" i="4035"/>
  <c r="F137" i="4035"/>
  <c r="F137" i="4030"/>
  <c r="M137" i="4030"/>
  <c r="G137" i="4030"/>
  <c r="L137" i="4029"/>
  <c r="S137" i="4029"/>
  <c r="S137" i="4028"/>
  <c r="N137" i="4027"/>
  <c r="C172" i="4023"/>
  <c r="C171" i="4023"/>
  <c r="M118" i="4020"/>
  <c r="V128" i="4020"/>
  <c r="P132" i="4024"/>
  <c r="P139" i="4024" s="1"/>
  <c r="X130" i="4036"/>
  <c r="X132" i="4036" s="1"/>
  <c r="G130" i="4036"/>
  <c r="G132" i="4036" s="1"/>
  <c r="G139" i="4036" s="1"/>
  <c r="AB130" i="4036"/>
  <c r="AB132" i="4036" s="1"/>
  <c r="M145" i="4035"/>
  <c r="M131" i="4035"/>
  <c r="T126" i="4035"/>
  <c r="F128" i="4035"/>
  <c r="AH118" i="4035"/>
  <c r="K137" i="4035"/>
  <c r="F126" i="4035"/>
  <c r="F130" i="4035" s="1"/>
  <c r="AE128" i="4035"/>
  <c r="AE130" i="4035" s="1"/>
  <c r="AE132" i="4035" s="1"/>
  <c r="AE139" i="4035" s="1"/>
  <c r="AE140" i="4035" s="1"/>
  <c r="AE143" i="4035" s="1"/>
  <c r="J118" i="4035"/>
  <c r="J120" i="4035" s="1"/>
  <c r="T128" i="4035"/>
  <c r="L145" i="4035"/>
  <c r="L131" i="4035"/>
  <c r="S118" i="4035"/>
  <c r="G137" i="4035"/>
  <c r="U118" i="4035"/>
  <c r="U120" i="4035" s="1"/>
  <c r="F131" i="4035"/>
  <c r="M126" i="4035"/>
  <c r="AN126" i="4035"/>
  <c r="AN130" i="4035" s="1"/>
  <c r="AN132" i="4035" s="1"/>
  <c r="AJ118" i="4035"/>
  <c r="W128" i="4035"/>
  <c r="AO130" i="4034"/>
  <c r="AO132" i="4034" s="1"/>
  <c r="AM126" i="4029"/>
  <c r="Z130" i="4029"/>
  <c r="Z132" i="4029" s="1"/>
  <c r="L128" i="4029"/>
  <c r="K128" i="4028"/>
  <c r="W126" i="4028"/>
  <c r="L128" i="4028"/>
  <c r="W128" i="4028"/>
  <c r="K126" i="4028"/>
  <c r="AL128" i="4028"/>
  <c r="L126" i="4028"/>
  <c r="R145" i="4027"/>
  <c r="R126" i="4027"/>
  <c r="R130" i="4027" s="1"/>
  <c r="R132" i="4027" s="1"/>
  <c r="K137" i="4024"/>
  <c r="G130" i="4024"/>
  <c r="G132" i="4024" s="1"/>
  <c r="G139" i="4024" s="1"/>
  <c r="J137" i="4024"/>
  <c r="AB130" i="4024"/>
  <c r="AB132" i="4024" s="1"/>
  <c r="AB139" i="4024" s="1"/>
  <c r="AB140" i="4024" s="1"/>
  <c r="F128" i="4021"/>
  <c r="G118" i="4018"/>
  <c r="J128" i="4018"/>
  <c r="J126" i="4018"/>
  <c r="AQ130" i="4036"/>
  <c r="AQ132" i="4036" s="1"/>
  <c r="AQ139" i="4036" s="1"/>
  <c r="AQ140" i="4036" s="1"/>
  <c r="AQ143" i="4036" s="1"/>
  <c r="P130" i="4036"/>
  <c r="P132" i="4036" s="1"/>
  <c r="P139" i="4036" s="1"/>
  <c r="K137" i="4036"/>
  <c r="AN130" i="4022"/>
  <c r="AN132" i="4022" s="1"/>
  <c r="AN139" i="4022" s="1"/>
  <c r="AN140" i="4022" s="1"/>
  <c r="AN142" i="4022" s="1"/>
  <c r="AN144" i="4022" s="1"/>
  <c r="X130" i="4022"/>
  <c r="X132" i="4022" s="1"/>
  <c r="X139" i="4022" s="1"/>
  <c r="X140" i="4022" s="1"/>
  <c r="X142" i="4022" s="1"/>
  <c r="X144" i="4022" s="1"/>
  <c r="AB130" i="4022"/>
  <c r="AB132" i="4022" s="1"/>
  <c r="AB139" i="4022" s="1"/>
  <c r="AB140" i="4022" s="1"/>
  <c r="K130" i="4022"/>
  <c r="K132" i="4022" s="1"/>
  <c r="K139" i="4022" s="1"/>
  <c r="AI130" i="4022"/>
  <c r="AI132" i="4022" s="1"/>
  <c r="AI139" i="4022" s="1"/>
  <c r="AI140" i="4022" s="1"/>
  <c r="U126" i="4020"/>
  <c r="AE118" i="4020"/>
  <c r="AE126" i="4020" s="1"/>
  <c r="U128" i="4020"/>
  <c r="N130" i="4022"/>
  <c r="N132" i="4022" s="1"/>
  <c r="N139" i="4022" s="1"/>
  <c r="P118" i="4019"/>
  <c r="P120" i="4019" s="1"/>
  <c r="Q137" i="4020"/>
  <c r="I126" i="4018"/>
  <c r="I131" i="4018"/>
  <c r="Q137" i="4022"/>
  <c r="AA128" i="4021"/>
  <c r="J130" i="4023"/>
  <c r="J132" i="4023" s="1"/>
  <c r="J139" i="4023" s="1"/>
  <c r="W130" i="4022"/>
  <c r="W132" i="4022" s="1"/>
  <c r="W139" i="4022" s="1"/>
  <c r="W140" i="4022" s="1"/>
  <c r="AO130" i="4023"/>
  <c r="AO132" i="4023" s="1"/>
  <c r="AO139" i="4023" s="1"/>
  <c r="AO140" i="4023" s="1"/>
  <c r="I137" i="4020"/>
  <c r="N130" i="4023"/>
  <c r="H137" i="4019"/>
  <c r="L137" i="4021"/>
  <c r="P137" i="4022"/>
  <c r="I126" i="4023"/>
  <c r="C159" i="4018"/>
  <c r="C160" i="4018" s="1"/>
  <c r="M137" i="4023"/>
  <c r="N137" i="4022"/>
  <c r="M137" i="4022"/>
  <c r="AF128" i="4021"/>
  <c r="AF130" i="4021" s="1"/>
  <c r="AF132" i="4021" s="1"/>
  <c r="AF139" i="4021" s="1"/>
  <c r="AF140" i="4021" s="1"/>
  <c r="AF142" i="4021" s="1"/>
  <c r="AF144" i="4021" s="1"/>
  <c r="AA128" i="4018"/>
  <c r="Q137" i="4023"/>
  <c r="S137" i="4022"/>
  <c r="P137" i="4023"/>
  <c r="O128" i="4023"/>
  <c r="AI130" i="4023"/>
  <c r="AI132" i="4023" s="1"/>
  <c r="AI139" i="4023" s="1"/>
  <c r="AI140" i="4023" s="1"/>
  <c r="AI142" i="4023" s="1"/>
  <c r="AI144" i="4023" s="1"/>
  <c r="S137" i="4023"/>
  <c r="F137" i="4020"/>
  <c r="T126" i="4020"/>
  <c r="U130" i="4022"/>
  <c r="U132" i="4022" s="1"/>
  <c r="U139" i="4022" s="1"/>
  <c r="U140" i="4022" s="1"/>
  <c r="U142" i="4022" s="1"/>
  <c r="U144" i="4022" s="1"/>
  <c r="AL130" i="4023"/>
  <c r="AL132" i="4023" s="1"/>
  <c r="AL139" i="4023" s="1"/>
  <c r="AL140" i="4023" s="1"/>
  <c r="O137" i="4019"/>
  <c r="E137" i="4022"/>
  <c r="V126" i="4019"/>
  <c r="R137" i="4019"/>
  <c r="AN130" i="4023"/>
  <c r="AN132" i="4023" s="1"/>
  <c r="AN139" i="4023" s="1"/>
  <c r="AN140" i="4023" s="1"/>
  <c r="H137" i="4023"/>
  <c r="G137" i="4023"/>
  <c r="AG130" i="4028"/>
  <c r="AG132" i="4028" s="1"/>
  <c r="AG139" i="4028" s="1"/>
  <c r="AG140" i="4028" s="1"/>
  <c r="AM130" i="4027"/>
  <c r="AM132" i="4027" s="1"/>
  <c r="AM139" i="4027" s="1"/>
  <c r="AM140" i="4027" s="1"/>
  <c r="AM142" i="4027" s="1"/>
  <c r="AM144" i="4027" s="1"/>
  <c r="Q130" i="4036"/>
  <c r="Q132" i="4036" s="1"/>
  <c r="Q139" i="4036" s="1"/>
  <c r="I130" i="4035"/>
  <c r="I132" i="4035" s="1"/>
  <c r="I139" i="4035" s="1"/>
  <c r="AL118" i="4035"/>
  <c r="AC118" i="4035"/>
  <c r="AC130" i="4034"/>
  <c r="AC132" i="4034" s="1"/>
  <c r="AC139" i="4034" s="1"/>
  <c r="AC140" i="4034" s="1"/>
  <c r="R137" i="4034"/>
  <c r="L137" i="4034"/>
  <c r="AR118" i="4034"/>
  <c r="O130" i="4034"/>
  <c r="V130" i="4034"/>
  <c r="V132" i="4034" s="1"/>
  <c r="F137" i="4034"/>
  <c r="AK130" i="4034"/>
  <c r="AK132" i="4034" s="1"/>
  <c r="AK139" i="4034" s="1"/>
  <c r="AK140" i="4034" s="1"/>
  <c r="AK143" i="4034" s="1"/>
  <c r="J137" i="4033"/>
  <c r="R137" i="4033"/>
  <c r="Q128" i="4032"/>
  <c r="Q130" i="4032" s="1"/>
  <c r="Q132" i="4032" s="1"/>
  <c r="E137" i="4032"/>
  <c r="AL128" i="4032"/>
  <c r="J130" i="4031"/>
  <c r="J132" i="4031" s="1"/>
  <c r="J139" i="4031" s="1"/>
  <c r="S126" i="4031"/>
  <c r="C159" i="4031"/>
  <c r="J137" i="4031"/>
  <c r="F137" i="4031"/>
  <c r="M137" i="4031"/>
  <c r="E118" i="4031"/>
  <c r="E120" i="4031" s="1"/>
  <c r="S128" i="4031"/>
  <c r="I137" i="4031"/>
  <c r="P137" i="4031"/>
  <c r="L137" i="4031"/>
  <c r="S137" i="4031"/>
  <c r="V128" i="4030"/>
  <c r="V126" i="4030"/>
  <c r="Q128" i="4029"/>
  <c r="U128" i="4029"/>
  <c r="AI130" i="4029"/>
  <c r="AI132" i="4029" s="1"/>
  <c r="C159" i="4029"/>
  <c r="C160" i="4029" s="1"/>
  <c r="G137" i="4029"/>
  <c r="Y130" i="4028"/>
  <c r="Y132" i="4028" s="1"/>
  <c r="Y139" i="4028" s="1"/>
  <c r="Y140" i="4028" s="1"/>
  <c r="AA128" i="4028"/>
  <c r="AA130" i="4028"/>
  <c r="AA132" i="4028" s="1"/>
  <c r="AA139" i="4028" s="1"/>
  <c r="AA140" i="4028" s="1"/>
  <c r="AA142" i="4028" s="1"/>
  <c r="AA144" i="4028" s="1"/>
  <c r="AQ130" i="4028"/>
  <c r="AQ132" i="4028" s="1"/>
  <c r="AQ139" i="4028" s="1"/>
  <c r="AQ140" i="4028" s="1"/>
  <c r="AQ143" i="4028" s="1"/>
  <c r="M137" i="4027"/>
  <c r="P137" i="4027"/>
  <c r="S137" i="4027"/>
  <c r="G126" i="4027"/>
  <c r="P126" i="4027"/>
  <c r="G128" i="4027"/>
  <c r="P128" i="4027"/>
  <c r="AL118" i="4027"/>
  <c r="G131" i="4027"/>
  <c r="I130" i="4027"/>
  <c r="O145" i="4027"/>
  <c r="O131" i="4027"/>
  <c r="AB128" i="4026"/>
  <c r="E137" i="4026"/>
  <c r="T126" i="4026"/>
  <c r="T130" i="4026" s="1"/>
  <c r="AP142" i="4025"/>
  <c r="AP144" i="4025" s="1"/>
  <c r="AN130" i="4025"/>
  <c r="AN132" i="4025" s="1"/>
  <c r="AN139" i="4025" s="1"/>
  <c r="AN140" i="4025" s="1"/>
  <c r="AN142" i="4025" s="1"/>
  <c r="AN144" i="4025" s="1"/>
  <c r="L128" i="4023"/>
  <c r="L130" i="4023" s="1"/>
  <c r="K137" i="4023"/>
  <c r="J137" i="4023"/>
  <c r="AH130" i="4022"/>
  <c r="AH132" i="4022" s="1"/>
  <c r="AH139" i="4022" s="1"/>
  <c r="AH140" i="4022" s="1"/>
  <c r="T130" i="4022"/>
  <c r="T132" i="4022" s="1"/>
  <c r="T139" i="4022" s="1"/>
  <c r="T140" i="4022" s="1"/>
  <c r="T143" i="4022" s="1"/>
  <c r="G137" i="4022"/>
  <c r="M130" i="4022"/>
  <c r="M132" i="4022" s="1"/>
  <c r="M139" i="4022" s="1"/>
  <c r="J137" i="4022"/>
  <c r="H132" i="4022"/>
  <c r="H139" i="4022" s="1"/>
  <c r="Y130" i="4022"/>
  <c r="Y132" i="4022" s="1"/>
  <c r="Y139" i="4022" s="1"/>
  <c r="Y140" i="4022" s="1"/>
  <c r="P137" i="4021"/>
  <c r="S137" i="4021"/>
  <c r="AC130" i="4020"/>
  <c r="AC132" i="4020" s="1"/>
  <c r="AC139" i="4020" s="1"/>
  <c r="AC140" i="4020" s="1"/>
  <c r="AC142" i="4020" s="1"/>
  <c r="AC144" i="4020" s="1"/>
  <c r="O118" i="4020"/>
  <c r="O120" i="4020" s="1"/>
  <c r="H137" i="4020"/>
  <c r="L137" i="4020"/>
  <c r="O137" i="4020"/>
  <c r="I137" i="4019"/>
  <c r="L137" i="4019"/>
  <c r="Q137" i="4019"/>
  <c r="F126" i="4019"/>
  <c r="F130" i="4019" s="1"/>
  <c r="V128" i="4019"/>
  <c r="N137" i="4019"/>
  <c r="Y118" i="4018"/>
  <c r="Y126" i="4018" s="1"/>
  <c r="U126" i="4018"/>
  <c r="AN118" i="4018"/>
  <c r="AN126" i="4018" s="1"/>
  <c r="V128" i="4018"/>
  <c r="R130" i="4018"/>
  <c r="U131" i="4018"/>
  <c r="AK118" i="4018"/>
  <c r="AK126" i="4018" s="1"/>
  <c r="V126" i="4018"/>
  <c r="AG128" i="4018"/>
  <c r="Q137" i="4036"/>
  <c r="AA130" i="4036"/>
  <c r="AA132" i="4036" s="1"/>
  <c r="AA139" i="4036" s="1"/>
  <c r="AA140" i="4036" s="1"/>
  <c r="AA143" i="4036" s="1"/>
  <c r="R130" i="4036"/>
  <c r="R132" i="4036" s="1"/>
  <c r="R139" i="4036" s="1"/>
  <c r="Z130" i="4036"/>
  <c r="Z132" i="4036" s="1"/>
  <c r="Z139" i="4036" s="1"/>
  <c r="Z140" i="4036" s="1"/>
  <c r="Z142" i="4036" s="1"/>
  <c r="Z144" i="4036" s="1"/>
  <c r="L130" i="4036"/>
  <c r="L132" i="4036" s="1"/>
  <c r="L139" i="4036" s="1"/>
  <c r="AP130" i="4036"/>
  <c r="AP132" i="4036" s="1"/>
  <c r="AP139" i="4036" s="1"/>
  <c r="AP140" i="4036" s="1"/>
  <c r="N137" i="4036"/>
  <c r="AM130" i="4035"/>
  <c r="AM132" i="4035" s="1"/>
  <c r="AM139" i="4035" s="1"/>
  <c r="AM140" i="4035" s="1"/>
  <c r="AM143" i="4035" s="1"/>
  <c r="J137" i="4034"/>
  <c r="AL130" i="4034"/>
  <c r="AL132" i="4034" s="1"/>
  <c r="AL139" i="4034" s="1"/>
  <c r="AL140" i="4034" s="1"/>
  <c r="S137" i="4034"/>
  <c r="Z130" i="4033"/>
  <c r="Z132" i="4033" s="1"/>
  <c r="Z139" i="4033" s="1"/>
  <c r="Z140" i="4033" s="1"/>
  <c r="Z142" i="4033" s="1"/>
  <c r="Z144" i="4033" s="1"/>
  <c r="L137" i="4033"/>
  <c r="S137" i="4033"/>
  <c r="I118" i="4032"/>
  <c r="I120" i="4032" s="1"/>
  <c r="AD118" i="4032"/>
  <c r="P126" i="4032"/>
  <c r="AK118" i="4032"/>
  <c r="J145" i="4032"/>
  <c r="J131" i="4032"/>
  <c r="L118" i="4032"/>
  <c r="L120" i="4032" s="1"/>
  <c r="G126" i="4032"/>
  <c r="G130" i="4032" s="1"/>
  <c r="AN130" i="4032"/>
  <c r="AN132" i="4032" s="1"/>
  <c r="AN139" i="4032" s="1"/>
  <c r="AN140" i="4032" s="1"/>
  <c r="Y130" i="4032"/>
  <c r="Y132" i="4032" s="1"/>
  <c r="Y139" i="4032" s="1"/>
  <c r="Y140" i="4032" s="1"/>
  <c r="U126" i="4032"/>
  <c r="U128" i="4032"/>
  <c r="U131" i="4032"/>
  <c r="H128" i="4032"/>
  <c r="M137" i="4032"/>
  <c r="AH128" i="4032"/>
  <c r="Q137" i="4032"/>
  <c r="AQ130" i="4032"/>
  <c r="AQ132" i="4032" s="1"/>
  <c r="AQ139" i="4032" s="1"/>
  <c r="AQ140" i="4032" s="1"/>
  <c r="AF118" i="4032"/>
  <c r="N118" i="4032"/>
  <c r="N120" i="4032" s="1"/>
  <c r="AM118" i="4032"/>
  <c r="S145" i="4032"/>
  <c r="S131" i="4032"/>
  <c r="AO118" i="4032"/>
  <c r="S126" i="4032"/>
  <c r="AC130" i="4032"/>
  <c r="AC132" i="4032" s="1"/>
  <c r="AC139" i="4032" s="1"/>
  <c r="AC140" i="4032" s="1"/>
  <c r="AC142" i="4032" s="1"/>
  <c r="AC144" i="4032" s="1"/>
  <c r="M128" i="4032"/>
  <c r="J126" i="4032"/>
  <c r="AF130" i="4031"/>
  <c r="AF132" i="4031" s="1"/>
  <c r="AF139" i="4031" s="1"/>
  <c r="AF140" i="4031" s="1"/>
  <c r="AF142" i="4031" s="1"/>
  <c r="AF144" i="4031" s="1"/>
  <c r="AO130" i="4031"/>
  <c r="AO132" i="4031" s="1"/>
  <c r="AO139" i="4031" s="1"/>
  <c r="AO140" i="4031" s="1"/>
  <c r="AO142" i="4031" s="1"/>
  <c r="AO144" i="4031" s="1"/>
  <c r="AD130" i="4031"/>
  <c r="AD132" i="4031" s="1"/>
  <c r="AD139" i="4031" s="1"/>
  <c r="AD140" i="4031" s="1"/>
  <c r="R137" i="4031"/>
  <c r="I137" i="4030"/>
  <c r="P137" i="4030"/>
  <c r="Z130" i="4030"/>
  <c r="Z132" i="4030" s="1"/>
  <c r="Z139" i="4030" s="1"/>
  <c r="Z140" i="4030" s="1"/>
  <c r="Z142" i="4030" s="1"/>
  <c r="Z144" i="4030" s="1"/>
  <c r="O137" i="4030"/>
  <c r="R137" i="4030"/>
  <c r="N145" i="4029"/>
  <c r="N128" i="4029"/>
  <c r="O145" i="4029"/>
  <c r="O131" i="4029"/>
  <c r="AL118" i="4029"/>
  <c r="X118" i="4029"/>
  <c r="X120" i="4029" s="1"/>
  <c r="T128" i="4029"/>
  <c r="T126" i="4029"/>
  <c r="T131" i="4029"/>
  <c r="AO126" i="4029"/>
  <c r="AO128" i="4029"/>
  <c r="AP118" i="4029"/>
  <c r="W118" i="4029"/>
  <c r="W120" i="4029" s="1"/>
  <c r="O128" i="4029"/>
  <c r="F145" i="4029"/>
  <c r="F128" i="4029"/>
  <c r="F131" i="4029"/>
  <c r="AG118" i="4029"/>
  <c r="O126" i="4029"/>
  <c r="K145" i="4029"/>
  <c r="K126" i="4029"/>
  <c r="K130" i="4029" s="1"/>
  <c r="AC118" i="4029"/>
  <c r="AD128" i="4028"/>
  <c r="AD126" i="4028"/>
  <c r="U131" i="4028"/>
  <c r="U126" i="4028"/>
  <c r="O118" i="4028"/>
  <c r="O120" i="4028" s="1"/>
  <c r="AM128" i="4028"/>
  <c r="AM126" i="4028"/>
  <c r="AF126" i="4028"/>
  <c r="AF128" i="4028"/>
  <c r="X126" i="4028"/>
  <c r="X128" i="4028"/>
  <c r="F118" i="4028"/>
  <c r="F120" i="4028" s="1"/>
  <c r="T128" i="4028"/>
  <c r="N145" i="4028"/>
  <c r="N131" i="4028"/>
  <c r="AH128" i="4028"/>
  <c r="T126" i="4028"/>
  <c r="AO126" i="4028"/>
  <c r="AO128" i="4028"/>
  <c r="AJ126" i="4028"/>
  <c r="AJ130" i="4028" s="1"/>
  <c r="AJ132" i="4028" s="1"/>
  <c r="AJ139" i="4028" s="1"/>
  <c r="AJ140" i="4028" s="1"/>
  <c r="AJ143" i="4028" s="1"/>
  <c r="Y128" i="4027"/>
  <c r="E137" i="4027"/>
  <c r="F145" i="4027"/>
  <c r="F128" i="4027"/>
  <c r="F130" i="4027" s="1"/>
  <c r="F131" i="4027"/>
  <c r="S130" i="4026"/>
  <c r="S132" i="4026" s="1"/>
  <c r="S139" i="4026" s="1"/>
  <c r="M137" i="4026"/>
  <c r="P137" i="4026"/>
  <c r="S137" i="4026"/>
  <c r="AK126" i="4026"/>
  <c r="AK128" i="4026"/>
  <c r="S132" i="4025"/>
  <c r="S139" i="4025" s="1"/>
  <c r="X130" i="4025"/>
  <c r="X132" i="4025" s="1"/>
  <c r="X139" i="4025" s="1"/>
  <c r="X140" i="4025" s="1"/>
  <c r="X143" i="4025" s="1"/>
  <c r="AI130" i="4025"/>
  <c r="AI132" i="4025" s="1"/>
  <c r="AI139" i="4025" s="1"/>
  <c r="AI140" i="4025" s="1"/>
  <c r="AF130" i="4024"/>
  <c r="AF132" i="4024" s="1"/>
  <c r="AF139" i="4024" s="1"/>
  <c r="AF140" i="4024" s="1"/>
  <c r="Q137" i="4024"/>
  <c r="X130" i="4024"/>
  <c r="X132" i="4024" s="1"/>
  <c r="X139" i="4024" s="1"/>
  <c r="X140" i="4024" s="1"/>
  <c r="X142" i="4024" s="1"/>
  <c r="X144" i="4024" s="1"/>
  <c r="AP143" i="4024"/>
  <c r="V130" i="4024"/>
  <c r="V132" i="4024" s="1"/>
  <c r="V139" i="4024" s="1"/>
  <c r="V140" i="4024" s="1"/>
  <c r="AI130" i="4024"/>
  <c r="AI132" i="4024" s="1"/>
  <c r="AI139" i="4024" s="1"/>
  <c r="AI140" i="4024" s="1"/>
  <c r="N130" i="4024"/>
  <c r="N132" i="4024" s="1"/>
  <c r="N139" i="4024" s="1"/>
  <c r="H137" i="4024"/>
  <c r="X130" i="4023"/>
  <c r="X132" i="4023" s="1"/>
  <c r="X139" i="4023" s="1"/>
  <c r="X140" i="4023" s="1"/>
  <c r="X142" i="4023" s="1"/>
  <c r="X144" i="4023" s="1"/>
  <c r="AE130" i="4023"/>
  <c r="AE132" i="4023" s="1"/>
  <c r="AE139" i="4023" s="1"/>
  <c r="AE140" i="4023" s="1"/>
  <c r="S130" i="4023"/>
  <c r="S132" i="4023" s="1"/>
  <c r="S139" i="4023" s="1"/>
  <c r="AR130" i="4022"/>
  <c r="AR132" i="4022" s="1"/>
  <c r="AR139" i="4022" s="1"/>
  <c r="AR140" i="4022" s="1"/>
  <c r="AC130" i="4022"/>
  <c r="AC132" i="4022" s="1"/>
  <c r="AC139" i="4022" s="1"/>
  <c r="AC140" i="4022" s="1"/>
  <c r="AE130" i="4022"/>
  <c r="AE132" i="4022" s="1"/>
  <c r="AE139" i="4022" s="1"/>
  <c r="AE140" i="4022" s="1"/>
  <c r="AF130" i="4022"/>
  <c r="AF132" i="4022" s="1"/>
  <c r="AF139" i="4022" s="1"/>
  <c r="AF140" i="4022" s="1"/>
  <c r="H137" i="4022"/>
  <c r="J130" i="4022"/>
  <c r="J132" i="4022" s="1"/>
  <c r="G130" i="4022"/>
  <c r="G132" i="4022" s="1"/>
  <c r="G139" i="4022" s="1"/>
  <c r="C159" i="4021"/>
  <c r="C160" i="4021" s="1"/>
  <c r="O137" i="4021"/>
  <c r="G137" i="4021"/>
  <c r="O145" i="4021"/>
  <c r="O131" i="4021"/>
  <c r="V128" i="4021"/>
  <c r="M137" i="4021"/>
  <c r="R137" i="4021"/>
  <c r="X131" i="4021"/>
  <c r="X126" i="4021"/>
  <c r="X128" i="4021"/>
  <c r="F137" i="4021"/>
  <c r="AD118" i="4021"/>
  <c r="J137" i="4021"/>
  <c r="F145" i="4021"/>
  <c r="F126" i="4021"/>
  <c r="L131" i="4020"/>
  <c r="X131" i="4020"/>
  <c r="X126" i="4020"/>
  <c r="X130" i="4020" s="1"/>
  <c r="K137" i="4020"/>
  <c r="AG126" i="4020"/>
  <c r="AG128" i="4020"/>
  <c r="R137" i="4020"/>
  <c r="S118" i="4020"/>
  <c r="T128" i="4020"/>
  <c r="AD128" i="4020"/>
  <c r="AD130" i="4020" s="1"/>
  <c r="AD132" i="4020" s="1"/>
  <c r="AD139" i="4020" s="1"/>
  <c r="AD140" i="4020" s="1"/>
  <c r="AP128" i="4020"/>
  <c r="AP126" i="4020"/>
  <c r="AL130" i="4020"/>
  <c r="AL132" i="4020" s="1"/>
  <c r="AL139" i="4020" s="1"/>
  <c r="AL140" i="4020" s="1"/>
  <c r="F118" i="4020"/>
  <c r="F120" i="4020" s="1"/>
  <c r="L126" i="4020"/>
  <c r="AM128" i="4018"/>
  <c r="AM130" i="4018" s="1"/>
  <c r="AM132" i="4018" s="1"/>
  <c r="AM139" i="4018" s="1"/>
  <c r="AM140" i="4018" s="1"/>
  <c r="S126" i="4018"/>
  <c r="H137" i="4018"/>
  <c r="AE118" i="4018"/>
  <c r="AE128" i="4018" s="1"/>
  <c r="K137" i="4018"/>
  <c r="O137" i="4018"/>
  <c r="R137" i="4018"/>
  <c r="Q137" i="4018"/>
  <c r="P118" i="4018"/>
  <c r="P145" i="4018" s="1"/>
  <c r="F118" i="4018"/>
  <c r="F120" i="4018" s="1"/>
  <c r="L145" i="4018"/>
  <c r="L128" i="4018"/>
  <c r="L131" i="4018"/>
  <c r="AJ126" i="4018"/>
  <c r="AD118" i="4018"/>
  <c r="AP118" i="4018"/>
  <c r="F137" i="4018"/>
  <c r="W128" i="4018"/>
  <c r="I137" i="4018"/>
  <c r="AB118" i="4018"/>
  <c r="AB128" i="4018" s="1"/>
  <c r="L137" i="4018"/>
  <c r="X131" i="4018"/>
  <c r="X128" i="4018"/>
  <c r="X126" i="4018"/>
  <c r="F137" i="4019"/>
  <c r="E137" i="4019"/>
  <c r="I137" i="4022"/>
  <c r="R137" i="4022"/>
  <c r="J137" i="4020"/>
  <c r="S137" i="4020"/>
  <c r="K137" i="4021"/>
  <c r="N137" i="4021"/>
  <c r="G137" i="4019"/>
  <c r="P137" i="4019"/>
  <c r="M137" i="4025"/>
  <c r="P137" i="4025"/>
  <c r="I137" i="4025"/>
  <c r="L137" i="4025"/>
  <c r="R137" i="4025"/>
  <c r="AL130" i="4025"/>
  <c r="AL132" i="4025" s="1"/>
  <c r="AL139" i="4025" s="1"/>
  <c r="AL140" i="4025" s="1"/>
  <c r="AL143" i="4025" s="1"/>
  <c r="AK126" i="4025"/>
  <c r="AK128" i="4025"/>
  <c r="W130" i="4025"/>
  <c r="W132" i="4025" s="1"/>
  <c r="W139" i="4025" s="1"/>
  <c r="W140" i="4025" s="1"/>
  <c r="AO130" i="4025"/>
  <c r="AO132" i="4025" s="1"/>
  <c r="AO139" i="4025" s="1"/>
  <c r="AO140" i="4025" s="1"/>
  <c r="F137" i="4027"/>
  <c r="O137" i="4027"/>
  <c r="AE130" i="4034"/>
  <c r="AE132" i="4034" s="1"/>
  <c r="AE139" i="4034" s="1"/>
  <c r="AE140" i="4034" s="1"/>
  <c r="AE143" i="4034" s="1"/>
  <c r="E137" i="4034"/>
  <c r="K137" i="4034"/>
  <c r="S137" i="4032"/>
  <c r="F137" i="4032"/>
  <c r="L137" i="4032"/>
  <c r="J137" i="4018"/>
  <c r="S137" i="4018"/>
  <c r="AQ130" i="4022"/>
  <c r="AQ132" i="4022" s="1"/>
  <c r="AQ139" i="4022" s="1"/>
  <c r="AQ140" i="4022" s="1"/>
  <c r="AM130" i="4021"/>
  <c r="AM132" i="4021" s="1"/>
  <c r="AM139" i="4021" s="1"/>
  <c r="AM140" i="4021" s="1"/>
  <c r="AM142" i="4021" s="1"/>
  <c r="AM144" i="4021" s="1"/>
  <c r="Q130" i="4024"/>
  <c r="Q132" i="4024" s="1"/>
  <c r="Q139" i="4024" s="1"/>
  <c r="H130" i="4025"/>
  <c r="H132" i="4025" s="1"/>
  <c r="H139" i="4025" s="1"/>
  <c r="F137" i="4026"/>
  <c r="O137" i="4026"/>
  <c r="F137" i="4028"/>
  <c r="L137" i="4028"/>
  <c r="H137" i="4028"/>
  <c r="K137" i="4028"/>
  <c r="Q137" i="4028"/>
  <c r="S137" i="4035"/>
  <c r="AG130" i="4035"/>
  <c r="AG132" i="4035" s="1"/>
  <c r="AG139" i="4035" s="1"/>
  <c r="AG140" i="4035" s="1"/>
  <c r="M137" i="4036"/>
  <c r="I137" i="4036"/>
  <c r="R137" i="4036"/>
  <c r="L137" i="4023"/>
  <c r="K130" i="4024"/>
  <c r="K132" i="4024" s="1"/>
  <c r="K139" i="4024" s="1"/>
  <c r="L137" i="4024"/>
  <c r="AP142" i="4034"/>
  <c r="AP144" i="4034" s="1"/>
  <c r="AP143" i="4034"/>
  <c r="V130" i="4023"/>
  <c r="V132" i="4023" s="1"/>
  <c r="V139" i="4023" s="1"/>
  <c r="V140" i="4023" s="1"/>
  <c r="Q130" i="4023"/>
  <c r="Q132" i="4023" s="1"/>
  <c r="Q139" i="4023" s="1"/>
  <c r="AH139" i="4023"/>
  <c r="AH140" i="4023" s="1"/>
  <c r="AH142" i="4023" s="1"/>
  <c r="AH144" i="4023" s="1"/>
  <c r="AK139" i="4031"/>
  <c r="AK140" i="4031" s="1"/>
  <c r="AQ139" i="4034"/>
  <c r="AQ140" i="4034" s="1"/>
  <c r="AQ143" i="4034" s="1"/>
  <c r="AC139" i="4023"/>
  <c r="AC140" i="4023" s="1"/>
  <c r="AQ139" i="4023"/>
  <c r="AQ140" i="4023" s="1"/>
  <c r="AN139" i="4034"/>
  <c r="AN140" i="4034" s="1"/>
  <c r="AN143" i="4034" s="1"/>
  <c r="Z139" i="4034"/>
  <c r="Z140" i="4034" s="1"/>
  <c r="X139" i="4036"/>
  <c r="X140" i="4036" s="1"/>
  <c r="AB139" i="4023"/>
  <c r="AB140" i="4023" s="1"/>
  <c r="T139" i="4023"/>
  <c r="T140" i="4023" s="1"/>
  <c r="AI139" i="4029"/>
  <c r="AI140" i="4029" s="1"/>
  <c r="AI142" i="4029" s="1"/>
  <c r="AI144" i="4029" s="1"/>
  <c r="V139" i="4036"/>
  <c r="V140" i="4036" s="1"/>
  <c r="AM139" i="4036"/>
  <c r="AM140" i="4036" s="1"/>
  <c r="AI139" i="4036"/>
  <c r="AI140" i="4036" s="1"/>
  <c r="AI139" i="4033"/>
  <c r="AI140" i="4033" s="1"/>
  <c r="AI142" i="4033" s="1"/>
  <c r="AI144" i="4033" s="1"/>
  <c r="AQ139" i="4025"/>
  <c r="AQ140" i="4025" s="1"/>
  <c r="AG139" i="4021"/>
  <c r="AG140" i="4021" s="1"/>
  <c r="AE139" i="4025"/>
  <c r="AE140" i="4025" s="1"/>
  <c r="AF139" i="4025"/>
  <c r="AF140" i="4025" s="1"/>
  <c r="AH139" i="4027"/>
  <c r="AH140" i="4027" s="1"/>
  <c r="AI139" i="4034"/>
  <c r="AI140" i="4034" s="1"/>
  <c r="W139" i="4034"/>
  <c r="W140" i="4034" s="1"/>
  <c r="AO139" i="4022"/>
  <c r="AO140" i="4022" s="1"/>
  <c r="AL139" i="4022"/>
  <c r="AL140" i="4022" s="1"/>
  <c r="AH139" i="4034"/>
  <c r="AH140" i="4034" s="1"/>
  <c r="AH143" i="4034" s="1"/>
  <c r="AH139" i="4036"/>
  <c r="AH140" i="4036" s="1"/>
  <c r="AH143" i="4036" s="1"/>
  <c r="Q118" i="4018"/>
  <c r="Q120" i="4018" s="1"/>
  <c r="AL118" i="4019"/>
  <c r="W118" i="4020"/>
  <c r="AR118" i="4021"/>
  <c r="AA118" i="4019"/>
  <c r="AK118" i="4019"/>
  <c r="AN126" i="4020"/>
  <c r="AN128" i="4020"/>
  <c r="E145" i="4025"/>
  <c r="E128" i="4025"/>
  <c r="C84" i="4025"/>
  <c r="C85" i="4025"/>
  <c r="E126" i="4025"/>
  <c r="E131" i="4025"/>
  <c r="H118" i="4026"/>
  <c r="H120" i="4026" s="1"/>
  <c r="O145" i="4023"/>
  <c r="O131" i="4023"/>
  <c r="R145" i="4024"/>
  <c r="R131" i="4024"/>
  <c r="AJ118" i="4026"/>
  <c r="AL128" i="4027"/>
  <c r="AL126" i="4027"/>
  <c r="S118" i="4029"/>
  <c r="S120" i="4029" s="1"/>
  <c r="AK118" i="4029"/>
  <c r="R118" i="4030"/>
  <c r="R120" i="4030" s="1"/>
  <c r="H137" i="4031"/>
  <c r="AI118" i="4031"/>
  <c r="R118" i="4033"/>
  <c r="R120" i="4033" s="1"/>
  <c r="J118" i="4033"/>
  <c r="J120" i="4033" s="1"/>
  <c r="V139" i="4034"/>
  <c r="V140" i="4034" s="1"/>
  <c r="V143" i="4034" s="1"/>
  <c r="AC126" i="4036"/>
  <c r="AC128" i="4036"/>
  <c r="C160" i="4024"/>
  <c r="I145" i="4034"/>
  <c r="I131" i="4034"/>
  <c r="F130" i="4036"/>
  <c r="F132" i="4036" s="1"/>
  <c r="AL118" i="4018"/>
  <c r="AI118" i="4020"/>
  <c r="M118" i="4021"/>
  <c r="M120" i="4021" s="1"/>
  <c r="AE118" i="4021"/>
  <c r="AJ126" i="4022"/>
  <c r="AJ128" i="4022"/>
  <c r="AE118" i="4019"/>
  <c r="AQ130" i="4027"/>
  <c r="AQ132" i="4027" s="1"/>
  <c r="L128" i="4025"/>
  <c r="AD128" i="4024"/>
  <c r="AD126" i="4024"/>
  <c r="O145" i="4025"/>
  <c r="O131" i="4025"/>
  <c r="AN118" i="4026"/>
  <c r="AL118" i="4026"/>
  <c r="AP118" i="4028"/>
  <c r="V118" i="4028"/>
  <c r="V120" i="4028" s="1"/>
  <c r="Q137" i="4029"/>
  <c r="C159" i="4027"/>
  <c r="E118" i="4027"/>
  <c r="E120" i="4027" s="1"/>
  <c r="AR118" i="4028"/>
  <c r="H137" i="4030"/>
  <c r="W128" i="4030"/>
  <c r="W131" i="4030"/>
  <c r="W126" i="4030"/>
  <c r="AA118" i="4031"/>
  <c r="AC118" i="4031"/>
  <c r="AP130" i="4033"/>
  <c r="AP132" i="4033" s="1"/>
  <c r="H137" i="4033"/>
  <c r="AE118" i="4033"/>
  <c r="C159" i="4033"/>
  <c r="E118" i="4033"/>
  <c r="E120" i="4033" s="1"/>
  <c r="AI126" i="4035"/>
  <c r="AI128" i="4035"/>
  <c r="AL139" i="4036"/>
  <c r="AL140" i="4036" s="1"/>
  <c r="AL142" i="4036" s="1"/>
  <c r="AL144" i="4036" s="1"/>
  <c r="AB139" i="4036"/>
  <c r="AB140" i="4036" s="1"/>
  <c r="AB143" i="4036" s="1"/>
  <c r="E145" i="4018"/>
  <c r="E128" i="4018"/>
  <c r="E131" i="4018"/>
  <c r="E126" i="4018"/>
  <c r="Q118" i="4019"/>
  <c r="Q120" i="4019" s="1"/>
  <c r="AR118" i="4019"/>
  <c r="E145" i="4021"/>
  <c r="E126" i="4021"/>
  <c r="E131" i="4021"/>
  <c r="E128" i="4021"/>
  <c r="F145" i="4022"/>
  <c r="F131" i="4022"/>
  <c r="F126" i="4022"/>
  <c r="F128" i="4022"/>
  <c r="R145" i="4022"/>
  <c r="R131" i="4022"/>
  <c r="R128" i="4022"/>
  <c r="R126" i="4022"/>
  <c r="M145" i="4018"/>
  <c r="P131" i="4019"/>
  <c r="AB126" i="4020"/>
  <c r="AB128" i="4020"/>
  <c r="L145" i="4022"/>
  <c r="L131" i="4022"/>
  <c r="L128" i="4022"/>
  <c r="L126" i="4022"/>
  <c r="K130" i="4020"/>
  <c r="AP118" i="4021"/>
  <c r="G126" i="4019"/>
  <c r="J137" i="4019"/>
  <c r="S137" i="4019"/>
  <c r="Z118" i="4018"/>
  <c r="T118" i="4019"/>
  <c r="E118" i="4020"/>
  <c r="E120" i="4020" s="1"/>
  <c r="C159" i="4020"/>
  <c r="AF118" i="4020"/>
  <c r="Z118" i="4021"/>
  <c r="O145" i="4022"/>
  <c r="O131" i="4022"/>
  <c r="O126" i="4022"/>
  <c r="O128" i="4022"/>
  <c r="J130" i="4024"/>
  <c r="J132" i="4024" s="1"/>
  <c r="I118" i="4019"/>
  <c r="I120" i="4019" s="1"/>
  <c r="AJ118" i="4019"/>
  <c r="AB139" i="4025"/>
  <c r="AB140" i="4025" s="1"/>
  <c r="Y128" i="4018"/>
  <c r="S118" i="4019"/>
  <c r="S120" i="4019" s="1"/>
  <c r="E137" i="4021"/>
  <c r="R126" i="4024"/>
  <c r="K137" i="4025"/>
  <c r="G137" i="4025"/>
  <c r="C160" i="4025"/>
  <c r="AI118" i="4026"/>
  <c r="F145" i="4023"/>
  <c r="F131" i="4023"/>
  <c r="I145" i="4024"/>
  <c r="AJ126" i="4024"/>
  <c r="AJ128" i="4024"/>
  <c r="AM126" i="4025"/>
  <c r="AM128" i="4025"/>
  <c r="AA118" i="4026"/>
  <c r="AQ118" i="4026"/>
  <c r="P118" i="4026"/>
  <c r="P120" i="4026" s="1"/>
  <c r="I137" i="4027"/>
  <c r="R137" i="4027"/>
  <c r="AB118" i="4027"/>
  <c r="AK118" i="4028"/>
  <c r="AC128" i="4027"/>
  <c r="AC126" i="4027"/>
  <c r="AR118" i="4029"/>
  <c r="M118" i="4029"/>
  <c r="M120" i="4029" s="1"/>
  <c r="AE118" i="4029"/>
  <c r="AN118" i="4029"/>
  <c r="AA118" i="4030"/>
  <c r="W130" i="4031"/>
  <c r="K137" i="4031"/>
  <c r="L130" i="4031"/>
  <c r="L132" i="4031" s="1"/>
  <c r="AC118" i="4030"/>
  <c r="O118" i="4031"/>
  <c r="O120" i="4031" s="1"/>
  <c r="AP118" i="4031"/>
  <c r="M118" i="4031"/>
  <c r="M120" i="4031" s="1"/>
  <c r="AN118" i="4031"/>
  <c r="Q130" i="4033"/>
  <c r="Q132" i="4033" s="1"/>
  <c r="Q118" i="4031"/>
  <c r="Q120" i="4031" s="1"/>
  <c r="E131" i="4032"/>
  <c r="AA118" i="4033"/>
  <c r="Q130" i="4034"/>
  <c r="Q132" i="4034" s="1"/>
  <c r="S118" i="4033"/>
  <c r="S120" i="4033" s="1"/>
  <c r="X139" i="4034"/>
  <c r="X140" i="4034" s="1"/>
  <c r="X143" i="4034" s="1"/>
  <c r="K118" i="4033"/>
  <c r="K120" i="4033" s="1"/>
  <c r="AL118" i="4033"/>
  <c r="G137" i="4034"/>
  <c r="N137" i="4034"/>
  <c r="E145" i="4034"/>
  <c r="E128" i="4034"/>
  <c r="C84" i="4034"/>
  <c r="C85" i="4034"/>
  <c r="E131" i="4034"/>
  <c r="E126" i="4034"/>
  <c r="AM128" i="4034"/>
  <c r="AM126" i="4034"/>
  <c r="AD139" i="4035"/>
  <c r="AD140" i="4035" s="1"/>
  <c r="C160" i="4035"/>
  <c r="AF126" i="4035"/>
  <c r="AF128" i="4035"/>
  <c r="Z126" i="4035"/>
  <c r="Z128" i="4035"/>
  <c r="E145" i="4036"/>
  <c r="E126" i="4036"/>
  <c r="E131" i="4036"/>
  <c r="E128" i="4036"/>
  <c r="AF128" i="4036"/>
  <c r="AF126" i="4036"/>
  <c r="AK139" i="4036"/>
  <c r="AK140" i="4036" s="1"/>
  <c r="AK143" i="4036" s="1"/>
  <c r="N145" i="4018"/>
  <c r="N131" i="4018"/>
  <c r="N126" i="4018"/>
  <c r="N128" i="4018"/>
  <c r="U130" i="4023"/>
  <c r="U132" i="4023" s="1"/>
  <c r="P130" i="4025"/>
  <c r="P132" i="4025" s="1"/>
  <c r="L137" i="4022"/>
  <c r="T130" i="4025"/>
  <c r="T132" i="4025" s="1"/>
  <c r="I128" i="4024"/>
  <c r="I130" i="4024" s="1"/>
  <c r="AD126" i="4023"/>
  <c r="AD128" i="4023"/>
  <c r="AM118" i="4026"/>
  <c r="J118" i="4030"/>
  <c r="J120" i="4030" s="1"/>
  <c r="S118" i="4030"/>
  <c r="S120" i="4030" s="1"/>
  <c r="AB118" i="4030"/>
  <c r="AK118" i="4030"/>
  <c r="K130" i="4032"/>
  <c r="K132" i="4032" s="1"/>
  <c r="J137" i="4032"/>
  <c r="G137" i="4032"/>
  <c r="O137" i="4032"/>
  <c r="C160" i="4031"/>
  <c r="AH126" i="4033"/>
  <c r="AH128" i="4033"/>
  <c r="AJ128" i="4034"/>
  <c r="AJ126" i="4034"/>
  <c r="U139" i="4036"/>
  <c r="U140" i="4036" s="1"/>
  <c r="U142" i="4036" s="1"/>
  <c r="U144" i="4036" s="1"/>
  <c r="M137" i="4018"/>
  <c r="AK130" i="4022"/>
  <c r="AK132" i="4022" s="1"/>
  <c r="M137" i="4020"/>
  <c r="AM130" i="4020"/>
  <c r="AM132" i="4020" s="1"/>
  <c r="W130" i="4021"/>
  <c r="W132" i="4021" s="1"/>
  <c r="Q130" i="4022"/>
  <c r="Q132" i="4022" s="1"/>
  <c r="L130" i="4021"/>
  <c r="L132" i="4021" s="1"/>
  <c r="T118" i="4018"/>
  <c r="E118" i="4019"/>
  <c r="E120" i="4019" s="1"/>
  <c r="C159" i="4019"/>
  <c r="AF118" i="4019"/>
  <c r="Q118" i="4020"/>
  <c r="Q120" i="4020" s="1"/>
  <c r="AR118" i="4020"/>
  <c r="AC118" i="4021"/>
  <c r="W130" i="4023"/>
  <c r="W132" i="4023" s="1"/>
  <c r="O126" i="4025"/>
  <c r="AD118" i="4019"/>
  <c r="AA118" i="4020"/>
  <c r="G118" i="4021"/>
  <c r="G120" i="4021" s="1"/>
  <c r="P118" i="4021"/>
  <c r="P120" i="4021" s="1"/>
  <c r="Y118" i="4021"/>
  <c r="AH118" i="4021"/>
  <c r="AQ118" i="4021"/>
  <c r="I145" i="4022"/>
  <c r="I126" i="4022"/>
  <c r="I128" i="4022"/>
  <c r="I131" i="4022"/>
  <c r="AR139" i="4024"/>
  <c r="AR140" i="4024" s="1"/>
  <c r="AR142" i="4024" s="1"/>
  <c r="AR144" i="4024" s="1"/>
  <c r="J145" i="4018"/>
  <c r="J131" i="4018"/>
  <c r="M118" i="4019"/>
  <c r="M120" i="4019" s="1"/>
  <c r="AN118" i="4019"/>
  <c r="P145" i="4020"/>
  <c r="P130" i="4023"/>
  <c r="P132" i="4023" s="1"/>
  <c r="U139" i="4024"/>
  <c r="U140" i="4024" s="1"/>
  <c r="U142" i="4024" s="1"/>
  <c r="U144" i="4024" s="1"/>
  <c r="Q130" i="4025"/>
  <c r="Q132" i="4025" s="1"/>
  <c r="C160" i="4023"/>
  <c r="R145" i="4023"/>
  <c r="R131" i="4023"/>
  <c r="L145" i="4024"/>
  <c r="L131" i="4024"/>
  <c r="F145" i="4025"/>
  <c r="AP118" i="4026"/>
  <c r="O118" i="4026"/>
  <c r="O120" i="4026" s="1"/>
  <c r="AE118" i="4026"/>
  <c r="I137" i="4026"/>
  <c r="R137" i="4026"/>
  <c r="AP130" i="4027"/>
  <c r="AP132" i="4027" s="1"/>
  <c r="I130" i="4028"/>
  <c r="AE118" i="4027"/>
  <c r="AE118" i="4028"/>
  <c r="K137" i="4029"/>
  <c r="N118" i="4027"/>
  <c r="N120" i="4027" s="1"/>
  <c r="AO118" i="4027"/>
  <c r="Z118" i="4028"/>
  <c r="M137" i="4028"/>
  <c r="O137" i="4028"/>
  <c r="R118" i="4029"/>
  <c r="R120" i="4029" s="1"/>
  <c r="U118" i="4030"/>
  <c r="U120" i="4030" s="1"/>
  <c r="K137" i="4030"/>
  <c r="C159" i="4030"/>
  <c r="E118" i="4030"/>
  <c r="E120" i="4030" s="1"/>
  <c r="AF118" i="4030"/>
  <c r="I118" i="4031"/>
  <c r="I120" i="4031" s="1"/>
  <c r="AJ118" i="4031"/>
  <c r="X118" i="4032"/>
  <c r="X120" i="4032" s="1"/>
  <c r="G118" i="4031"/>
  <c r="G120" i="4031" s="1"/>
  <c r="AH118" i="4031"/>
  <c r="K118" i="4031"/>
  <c r="K120" i="4031" s="1"/>
  <c r="AL118" i="4031"/>
  <c r="AD118" i="4033"/>
  <c r="K130" i="4034"/>
  <c r="K132" i="4034" s="1"/>
  <c r="K137" i="4033"/>
  <c r="M118" i="4033"/>
  <c r="M120" i="4033" s="1"/>
  <c r="AN118" i="4033"/>
  <c r="N118" i="4033"/>
  <c r="N120" i="4033" s="1"/>
  <c r="AO118" i="4033"/>
  <c r="Y130" i="4034"/>
  <c r="Y132" i="4034" s="1"/>
  <c r="I137" i="4035"/>
  <c r="R137" i="4035"/>
  <c r="J137" i="4035"/>
  <c r="AG126" i="4034"/>
  <c r="AG128" i="4034"/>
  <c r="O130" i="4035"/>
  <c r="AP130" i="4035"/>
  <c r="AP132" i="4035" s="1"/>
  <c r="AO128" i="4035"/>
  <c r="AO126" i="4035"/>
  <c r="H145" i="4035"/>
  <c r="H131" i="4035"/>
  <c r="H126" i="4035"/>
  <c r="H128" i="4035"/>
  <c r="Y139" i="4036"/>
  <c r="Y140" i="4036" s="1"/>
  <c r="T126" i="4036"/>
  <c r="T128" i="4036"/>
  <c r="K145" i="4036"/>
  <c r="K126" i="4036"/>
  <c r="K128" i="4036"/>
  <c r="K131" i="4036"/>
  <c r="G137" i="4036"/>
  <c r="P137" i="4036"/>
  <c r="L137" i="4036"/>
  <c r="AO126" i="4018"/>
  <c r="AO128" i="4018"/>
  <c r="Z118" i="4019"/>
  <c r="AM139" i="4022"/>
  <c r="AM140" i="4022" s="1"/>
  <c r="AM142" i="4022" s="1"/>
  <c r="AM144" i="4022" s="1"/>
  <c r="F137" i="4023"/>
  <c r="O137" i="4023"/>
  <c r="Z130" i="4023"/>
  <c r="Z132" i="4023" s="1"/>
  <c r="G130" i="4025"/>
  <c r="G132" i="4025" s="1"/>
  <c r="J145" i="4020"/>
  <c r="J126" i="4020"/>
  <c r="J131" i="4020"/>
  <c r="F137" i="4024"/>
  <c r="O137" i="4024"/>
  <c r="AC130" i="4025"/>
  <c r="AC132" i="4025" s="1"/>
  <c r="E145" i="4022"/>
  <c r="E128" i="4022"/>
  <c r="E131" i="4022"/>
  <c r="E126" i="4022"/>
  <c r="O145" i="4024"/>
  <c r="O131" i="4024"/>
  <c r="O126" i="4024"/>
  <c r="O130" i="4024" s="1"/>
  <c r="R145" i="4025"/>
  <c r="R126" i="4025"/>
  <c r="R130" i="4025" s="1"/>
  <c r="R131" i="4025"/>
  <c r="H145" i="4027"/>
  <c r="AP130" i="4030"/>
  <c r="AP132" i="4030" s="1"/>
  <c r="T128" i="4031"/>
  <c r="Y126" i="4033"/>
  <c r="Y128" i="4033"/>
  <c r="J130" i="4034"/>
  <c r="J132" i="4034" s="1"/>
  <c r="V126" i="4021"/>
  <c r="F126" i="4025"/>
  <c r="I145" i="4029"/>
  <c r="I131" i="4029"/>
  <c r="I126" i="4029"/>
  <c r="I128" i="4029"/>
  <c r="V126" i="4031"/>
  <c r="M126" i="4018"/>
  <c r="L126" i="4024"/>
  <c r="L130" i="4024" s="1"/>
  <c r="N145" i="4026"/>
  <c r="N126" i="4026"/>
  <c r="N131" i="4026"/>
  <c r="N128" i="4026"/>
  <c r="AR118" i="4018"/>
  <c r="Q118" i="4021"/>
  <c r="Q120" i="4021" s="1"/>
  <c r="AP126" i="4022"/>
  <c r="AP128" i="4022"/>
  <c r="AH126" i="4018"/>
  <c r="AH128" i="4018"/>
  <c r="J118" i="4019"/>
  <c r="J120" i="4019" s="1"/>
  <c r="L145" i="4025"/>
  <c r="I118" i="4026"/>
  <c r="I120" i="4026" s="1"/>
  <c r="Y118" i="4026"/>
  <c r="AC118" i="4026"/>
  <c r="S118" i="4027"/>
  <c r="S120" i="4027" s="1"/>
  <c r="AB118" i="4028"/>
  <c r="AR118" i="4030"/>
  <c r="C160" i="4028"/>
  <c r="J118" i="4029"/>
  <c r="J120" i="4029" s="1"/>
  <c r="AB118" i="4029"/>
  <c r="Q137" i="4031"/>
  <c r="T126" i="4030"/>
  <c r="T131" i="4030"/>
  <c r="T128" i="4030"/>
  <c r="AG118" i="4031"/>
  <c r="AE118" i="4031"/>
  <c r="H118" i="4031"/>
  <c r="H120" i="4031" s="1"/>
  <c r="AK118" i="4033"/>
  <c r="AC118" i="4033"/>
  <c r="L145" i="4034"/>
  <c r="L126" i="4034"/>
  <c r="J139" i="4036"/>
  <c r="AC139" i="4024"/>
  <c r="AC140" i="4024" s="1"/>
  <c r="AC142" i="4024" s="1"/>
  <c r="AC144" i="4024" s="1"/>
  <c r="G145" i="4019"/>
  <c r="G131" i="4019"/>
  <c r="Z118" i="4026"/>
  <c r="F145" i="4024"/>
  <c r="F126" i="4024"/>
  <c r="F131" i="4024"/>
  <c r="Q145" i="4027"/>
  <c r="Q131" i="4027"/>
  <c r="H130" i="4030"/>
  <c r="H132" i="4030" s="1"/>
  <c r="F130" i="4030"/>
  <c r="F132" i="4030" s="1"/>
  <c r="G118" i="4030"/>
  <c r="G120" i="4030" s="1"/>
  <c r="P118" i="4030"/>
  <c r="P120" i="4030" s="1"/>
  <c r="Y118" i="4030"/>
  <c r="AH118" i="4030"/>
  <c r="AQ118" i="4030"/>
  <c r="P137" i="4032"/>
  <c r="U139" i="4034"/>
  <c r="U140" i="4034" s="1"/>
  <c r="AQ139" i="4035"/>
  <c r="AQ140" i="4035" s="1"/>
  <c r="Q145" i="4035"/>
  <c r="Q131" i="4035"/>
  <c r="Q126" i="4035"/>
  <c r="Q128" i="4035"/>
  <c r="K118" i="4018"/>
  <c r="K120" i="4018" s="1"/>
  <c r="W118" i="4019"/>
  <c r="H118" i="4020"/>
  <c r="H120" i="4020" s="1"/>
  <c r="T118" i="4021"/>
  <c r="T120" i="4021" s="1"/>
  <c r="N132" i="4023"/>
  <c r="AN139" i="4024"/>
  <c r="AN140" i="4024" s="1"/>
  <c r="AN142" i="4024" s="1"/>
  <c r="AN144" i="4024" s="1"/>
  <c r="U118" i="4019"/>
  <c r="R118" i="4020"/>
  <c r="R120" i="4020" s="1"/>
  <c r="AN118" i="4021"/>
  <c r="S145" i="4018"/>
  <c r="S131" i="4018"/>
  <c r="Y126" i="4020"/>
  <c r="Y128" i="4020"/>
  <c r="G130" i="4023"/>
  <c r="G132" i="4023" s="1"/>
  <c r="AR139" i="4025"/>
  <c r="AR140" i="4025" s="1"/>
  <c r="AR143" i="4025" s="1"/>
  <c r="AR118" i="4026"/>
  <c r="W126" i="4026"/>
  <c r="W131" i="4026"/>
  <c r="E128" i="4023"/>
  <c r="E145" i="4023"/>
  <c r="E131" i="4023"/>
  <c r="E126" i="4023"/>
  <c r="AA128" i="4023"/>
  <c r="AA126" i="4023"/>
  <c r="X118" i="4026"/>
  <c r="X120" i="4026" s="1"/>
  <c r="M118" i="4026"/>
  <c r="M120" i="4026" s="1"/>
  <c r="V118" i="4027"/>
  <c r="V120" i="4027" s="1"/>
  <c r="H137" i="4029"/>
  <c r="AF118" i="4027"/>
  <c r="Q118" i="4028"/>
  <c r="Q120" i="4028" s="1"/>
  <c r="Z139" i="4029"/>
  <c r="Z140" i="4029" s="1"/>
  <c r="Z142" i="4029" s="1"/>
  <c r="Z144" i="4029" s="1"/>
  <c r="AJ118" i="4029"/>
  <c r="AM118" i="4030"/>
  <c r="Q137" i="4030"/>
  <c r="E145" i="4029"/>
  <c r="E131" i="4029"/>
  <c r="E128" i="4029"/>
  <c r="E126" i="4029"/>
  <c r="O118" i="4032"/>
  <c r="O120" i="4032" s="1"/>
  <c r="AP118" i="4032"/>
  <c r="Y118" i="4031"/>
  <c r="U118" i="4033"/>
  <c r="U120" i="4033" s="1"/>
  <c r="Q137" i="4033"/>
  <c r="AF118" i="4033"/>
  <c r="P130" i="4034"/>
  <c r="P132" i="4034" s="1"/>
  <c r="F145" i="4034"/>
  <c r="N145" i="4036"/>
  <c r="N128" i="4036"/>
  <c r="N131" i="4036"/>
  <c r="N126" i="4036"/>
  <c r="K137" i="4019"/>
  <c r="M137" i="4019"/>
  <c r="R130" i="4021"/>
  <c r="R132" i="4021" s="1"/>
  <c r="H118" i="4018"/>
  <c r="H120" i="4018" s="1"/>
  <c r="AI118" i="4018"/>
  <c r="AC118" i="4019"/>
  <c r="N118" i="4020"/>
  <c r="N120" i="4020" s="1"/>
  <c r="AO118" i="4020"/>
  <c r="H118" i="4021"/>
  <c r="H120" i="4021" s="1"/>
  <c r="AI118" i="4021"/>
  <c r="K130" i="4023"/>
  <c r="K132" i="4023" s="1"/>
  <c r="S130" i="4024"/>
  <c r="S132" i="4024" s="1"/>
  <c r="U139" i="4025"/>
  <c r="U140" i="4025" s="1"/>
  <c r="U143" i="4025" s="1"/>
  <c r="R118" i="4019"/>
  <c r="R120" i="4019" s="1"/>
  <c r="AA126" i="4022"/>
  <c r="AA128" i="4022"/>
  <c r="J130" i="4025"/>
  <c r="J132" i="4025" s="1"/>
  <c r="AB118" i="4019"/>
  <c r="I137" i="4021"/>
  <c r="H137" i="4021"/>
  <c r="Q137" i="4021"/>
  <c r="M130" i="4023"/>
  <c r="M132" i="4023" s="1"/>
  <c r="E137" i="4025"/>
  <c r="J137" i="4025"/>
  <c r="S137" i="4025"/>
  <c r="F137" i="4025"/>
  <c r="O137" i="4025"/>
  <c r="N130" i="4025"/>
  <c r="N132" i="4025" s="1"/>
  <c r="AO118" i="4026"/>
  <c r="F128" i="4023"/>
  <c r="F130" i="4023" s="1"/>
  <c r="Q126" i="4027"/>
  <c r="AG126" i="4023"/>
  <c r="AG128" i="4023"/>
  <c r="AA126" i="4024"/>
  <c r="AA128" i="4024"/>
  <c r="AD126" i="4025"/>
  <c r="AD128" i="4025"/>
  <c r="R118" i="4026"/>
  <c r="R120" i="4026" s="1"/>
  <c r="AH118" i="4026"/>
  <c r="G118" i="4026"/>
  <c r="G120" i="4026" s="1"/>
  <c r="H137" i="4027"/>
  <c r="Q137" i="4027"/>
  <c r="L137" i="4027"/>
  <c r="AK118" i="4027"/>
  <c r="S118" i="4028"/>
  <c r="S120" i="4028" s="1"/>
  <c r="V126" i="4029"/>
  <c r="E145" i="4028"/>
  <c r="E128" i="4028"/>
  <c r="E126" i="4028"/>
  <c r="E131" i="4028"/>
  <c r="G118" i="4029"/>
  <c r="G120" i="4029" s="1"/>
  <c r="P118" i="4029"/>
  <c r="P120" i="4029" s="1"/>
  <c r="Y118" i="4029"/>
  <c r="AH118" i="4029"/>
  <c r="AQ118" i="4029"/>
  <c r="I118" i="4030"/>
  <c r="I120" i="4030" s="1"/>
  <c r="AJ118" i="4030"/>
  <c r="E137" i="4031"/>
  <c r="N137" i="4031"/>
  <c r="AM130" i="4031"/>
  <c r="AM132" i="4031" s="1"/>
  <c r="W130" i="4032"/>
  <c r="K118" i="4030"/>
  <c r="K120" i="4030" s="1"/>
  <c r="AL118" i="4030"/>
  <c r="X118" i="4031"/>
  <c r="X120" i="4031" s="1"/>
  <c r="V130" i="4033"/>
  <c r="Z118" i="4031"/>
  <c r="C160" i="4032"/>
  <c r="AJ118" i="4033"/>
  <c r="AB118" i="4033"/>
  <c r="F126" i="4034"/>
  <c r="F130" i="4034" s="1"/>
  <c r="T131" i="4033"/>
  <c r="T126" i="4033"/>
  <c r="T128" i="4033"/>
  <c r="M130" i="4034"/>
  <c r="M132" i="4034" s="1"/>
  <c r="I137" i="4034"/>
  <c r="O137" i="4034"/>
  <c r="H137" i="4034"/>
  <c r="Q137" i="4034"/>
  <c r="I128" i="4034"/>
  <c r="C160" i="4034"/>
  <c r="AD128" i="4034"/>
  <c r="AD126" i="4034"/>
  <c r="E145" i="4035"/>
  <c r="E128" i="4035"/>
  <c r="E131" i="4035"/>
  <c r="E126" i="4035"/>
  <c r="AO128" i="4036"/>
  <c r="AO126" i="4036"/>
  <c r="C160" i="4036"/>
  <c r="Y126" i="4019"/>
  <c r="Y128" i="4019"/>
  <c r="K137" i="4022"/>
  <c r="F137" i="4022"/>
  <c r="O137" i="4022"/>
  <c r="C159" i="4026"/>
  <c r="E118" i="4026"/>
  <c r="E120" i="4026" s="1"/>
  <c r="E128" i="4024"/>
  <c r="C84" i="4024"/>
  <c r="E145" i="4024"/>
  <c r="C85" i="4024"/>
  <c r="E131" i="4024"/>
  <c r="E126" i="4024"/>
  <c r="AA128" i="4025"/>
  <c r="AA126" i="4025"/>
  <c r="U118" i="4026"/>
  <c r="U120" i="4026" s="1"/>
  <c r="Q128" i="4027"/>
  <c r="AI126" i="4027"/>
  <c r="AI128" i="4027"/>
  <c r="AG130" i="4030"/>
  <c r="AG132" i="4030" s="1"/>
  <c r="M118" i="4030"/>
  <c r="M120" i="4030" s="1"/>
  <c r="AE118" i="4030"/>
  <c r="AN118" i="4030"/>
  <c r="AR118" i="4031"/>
  <c r="V128" i="4031"/>
  <c r="H137" i="4032"/>
  <c r="N137" i="4032"/>
  <c r="I137" i="4032"/>
  <c r="R137" i="4032"/>
  <c r="E145" i="4031"/>
  <c r="E126" i="4031"/>
  <c r="E128" i="4031"/>
  <c r="E131" i="4031"/>
  <c r="AO139" i="4034"/>
  <c r="AO140" i="4034" s="1"/>
  <c r="AO142" i="4034" s="1"/>
  <c r="AO144" i="4034" s="1"/>
  <c r="P145" i="4033"/>
  <c r="S130" i="4034"/>
  <c r="S132" i="4034" s="1"/>
  <c r="R145" i="4034"/>
  <c r="R131" i="4034"/>
  <c r="E137" i="4018"/>
  <c r="N137" i="4018"/>
  <c r="G137" i="4018"/>
  <c r="P137" i="4018"/>
  <c r="P130" i="4022"/>
  <c r="P132" i="4022" s="1"/>
  <c r="E137" i="4020"/>
  <c r="N137" i="4020"/>
  <c r="G137" i="4020"/>
  <c r="P137" i="4020"/>
  <c r="Z130" i="4022"/>
  <c r="Z132" i="4022" s="1"/>
  <c r="AC118" i="4018"/>
  <c r="N118" i="4019"/>
  <c r="N120" i="4019" s="1"/>
  <c r="AO118" i="4019"/>
  <c r="Z118" i="4020"/>
  <c r="K118" i="4021"/>
  <c r="K120" i="4021" s="1"/>
  <c r="AL118" i="4021"/>
  <c r="AF130" i="4023"/>
  <c r="AF132" i="4023" s="1"/>
  <c r="M130" i="4024"/>
  <c r="M132" i="4024" s="1"/>
  <c r="J130" i="4026"/>
  <c r="J132" i="4026" s="1"/>
  <c r="L118" i="4019"/>
  <c r="L120" i="4019" s="1"/>
  <c r="AM118" i="4019"/>
  <c r="I118" i="4020"/>
  <c r="I120" i="4020" s="1"/>
  <c r="AJ118" i="4020"/>
  <c r="J118" i="4021"/>
  <c r="J120" i="4021" s="1"/>
  <c r="S118" i="4021"/>
  <c r="S120" i="4021" s="1"/>
  <c r="AB118" i="4021"/>
  <c r="AK118" i="4021"/>
  <c r="H130" i="4024"/>
  <c r="H132" i="4024" s="1"/>
  <c r="G145" i="4020"/>
  <c r="G131" i="4020"/>
  <c r="AH126" i="4020"/>
  <c r="AH128" i="4020"/>
  <c r="AD126" i="4022"/>
  <c r="AD128" i="4022"/>
  <c r="Y130" i="4023"/>
  <c r="Y132" i="4023" s="1"/>
  <c r="Z130" i="4025"/>
  <c r="Z132" i="4025" s="1"/>
  <c r="P130" i="4027"/>
  <c r="R128" i="4023"/>
  <c r="F128" i="4024"/>
  <c r="Q118" i="4026"/>
  <c r="Q120" i="4026" s="1"/>
  <c r="I145" i="4023"/>
  <c r="I131" i="4023"/>
  <c r="AJ128" i="4023"/>
  <c r="AJ126" i="4023"/>
  <c r="AM128" i="4024"/>
  <c r="AM126" i="4024"/>
  <c r="AG128" i="4025"/>
  <c r="AG126" i="4025"/>
  <c r="AG118" i="4026"/>
  <c r="F118" i="4026"/>
  <c r="F120" i="4026" s="1"/>
  <c r="V118" i="4026"/>
  <c r="V120" i="4026" s="1"/>
  <c r="H137" i="4026"/>
  <c r="Q137" i="4026"/>
  <c r="L137" i="4026"/>
  <c r="K118" i="4026"/>
  <c r="K120" i="4026" s="1"/>
  <c r="O130" i="4027"/>
  <c r="O132" i="4027" s="1"/>
  <c r="R130" i="4028"/>
  <c r="M118" i="4027"/>
  <c r="M120" i="4027" s="1"/>
  <c r="AN118" i="4027"/>
  <c r="M118" i="4028"/>
  <c r="M120" i="4028" s="1"/>
  <c r="AN118" i="4028"/>
  <c r="E137" i="4029"/>
  <c r="N137" i="4029"/>
  <c r="W131" i="4027"/>
  <c r="W126" i="4027"/>
  <c r="H118" i="4028"/>
  <c r="H120" i="4028" s="1"/>
  <c r="AI118" i="4028"/>
  <c r="R137" i="4028"/>
  <c r="E137" i="4028"/>
  <c r="N137" i="4028"/>
  <c r="AA118" i="4029"/>
  <c r="AD118" i="4030"/>
  <c r="E137" i="4030"/>
  <c r="N137" i="4030"/>
  <c r="N118" i="4030"/>
  <c r="N120" i="4030" s="1"/>
  <c r="AO118" i="4030"/>
  <c r="AA130" i="4032"/>
  <c r="AA132" i="4032" s="1"/>
  <c r="R118" i="4031"/>
  <c r="R120" i="4031" s="1"/>
  <c r="F118" i="4032"/>
  <c r="AG118" i="4032"/>
  <c r="P118" i="4031"/>
  <c r="P120" i="4031" s="1"/>
  <c r="AQ118" i="4031"/>
  <c r="AR118" i="4033"/>
  <c r="F130" i="4033"/>
  <c r="F132" i="4033" s="1"/>
  <c r="AG130" i="4033"/>
  <c r="AG132" i="4033" s="1"/>
  <c r="P128" i="4033"/>
  <c r="L118" i="4033"/>
  <c r="L120" i="4033" s="1"/>
  <c r="AM118" i="4033"/>
  <c r="T130" i="4034"/>
  <c r="T132" i="4034" s="1"/>
  <c r="E137" i="4033"/>
  <c r="N137" i="4033"/>
  <c r="W126" i="4033"/>
  <c r="W131" i="4033"/>
  <c r="W128" i="4033"/>
  <c r="G130" i="4034"/>
  <c r="G132" i="4034" s="1"/>
  <c r="H137" i="4035"/>
  <c r="M137" i="4035"/>
  <c r="O145" i="4034"/>
  <c r="O131" i="4034"/>
  <c r="X130" i="4035"/>
  <c r="N145" i="4035"/>
  <c r="N128" i="4035"/>
  <c r="N126" i="4035"/>
  <c r="N131" i="4035"/>
  <c r="AG130" i="4036"/>
  <c r="AG132" i="4036" s="1"/>
  <c r="O130" i="4036"/>
  <c r="O132" i="4036" s="1"/>
  <c r="M130" i="4036"/>
  <c r="M132" i="4036" s="1"/>
  <c r="J137" i="4036"/>
  <c r="S137" i="4036"/>
  <c r="F137" i="4036"/>
  <c r="O137" i="4036"/>
  <c r="AQ118" i="4019"/>
  <c r="AF126" i="4018"/>
  <c r="AF128" i="4018"/>
  <c r="H118" i="4019"/>
  <c r="H120" i="4019" s="1"/>
  <c r="AI118" i="4019"/>
  <c r="AG126" i="4022"/>
  <c r="AG128" i="4022"/>
  <c r="E137" i="4023"/>
  <c r="N137" i="4023"/>
  <c r="I137" i="4023"/>
  <c r="R137" i="4023"/>
  <c r="H130" i="4023"/>
  <c r="H132" i="4023" s="1"/>
  <c r="AR139" i="4023"/>
  <c r="AR140" i="4023" s="1"/>
  <c r="AR142" i="4023" s="1"/>
  <c r="AR144" i="4023" s="1"/>
  <c r="AH139" i="4024"/>
  <c r="AH140" i="4024" s="1"/>
  <c r="AL139" i="4024"/>
  <c r="AL140" i="4024" s="1"/>
  <c r="AL142" i="4024" s="1"/>
  <c r="AL144" i="4024" s="1"/>
  <c r="AH130" i="4025"/>
  <c r="AH132" i="4025" s="1"/>
  <c r="AH126" i="4019"/>
  <c r="AH128" i="4019"/>
  <c r="E137" i="4024"/>
  <c r="N137" i="4024"/>
  <c r="I137" i="4024"/>
  <c r="R137" i="4024"/>
  <c r="C160" i="4022"/>
  <c r="R128" i="4024"/>
  <c r="AM128" i="4023"/>
  <c r="AM126" i="4023"/>
  <c r="I145" i="4025"/>
  <c r="I131" i="4025"/>
  <c r="I126" i="4025"/>
  <c r="I130" i="4025" s="1"/>
  <c r="AD118" i="4026"/>
  <c r="AR126" i="4027"/>
  <c r="AR128" i="4027"/>
  <c r="AF139" i="4034"/>
  <c r="AF140" i="4034" s="1"/>
  <c r="AB130" i="4034"/>
  <c r="AB132" i="4034" s="1"/>
  <c r="AA128" i="4034"/>
  <c r="AA126" i="4034"/>
  <c r="G126" i="4020"/>
  <c r="G130" i="4020" s="1"/>
  <c r="AR126" i="4032"/>
  <c r="AR128" i="4032"/>
  <c r="I145" i="4033"/>
  <c r="I131" i="4033"/>
  <c r="I126" i="4033"/>
  <c r="I128" i="4033"/>
  <c r="AQ126" i="4018"/>
  <c r="AQ128" i="4018"/>
  <c r="AP143" i="4023"/>
  <c r="J145" i="4028"/>
  <c r="J128" i="4028"/>
  <c r="J126" i="4028"/>
  <c r="J131" i="4028"/>
  <c r="L145" i="4030"/>
  <c r="L131" i="4030"/>
  <c r="L128" i="4030"/>
  <c r="L126" i="4030"/>
  <c r="AF118" i="4026"/>
  <c r="O128" i="4025"/>
  <c r="L145" i="4023"/>
  <c r="AG128" i="4024"/>
  <c r="AG126" i="4024"/>
  <c r="AJ126" i="4025"/>
  <c r="AJ128" i="4025"/>
  <c r="L118" i="4026"/>
  <c r="L120" i="4026" s="1"/>
  <c r="H128" i="4027"/>
  <c r="H130" i="4027" s="1"/>
  <c r="Z126" i="4027"/>
  <c r="Z128" i="4027"/>
  <c r="V128" i="4029"/>
  <c r="O130" i="4030"/>
  <c r="T126" i="4031"/>
  <c r="AQ128" i="4033"/>
  <c r="W130" i="4035"/>
  <c r="W128" i="4036"/>
  <c r="W126" i="4036"/>
  <c r="AQ126" i="4020"/>
  <c r="AQ128" i="4020"/>
  <c r="P126" i="4020"/>
  <c r="P130" i="4020" s="1"/>
  <c r="I126" i="4034"/>
  <c r="F145" i="4031"/>
  <c r="F128" i="4031"/>
  <c r="F131" i="4031"/>
  <c r="F126" i="4031"/>
  <c r="J145" i="4027"/>
  <c r="J128" i="4027"/>
  <c r="J126" i="4027"/>
  <c r="J131" i="4027"/>
  <c r="K145" i="4019"/>
  <c r="K126" i="4019"/>
  <c r="K128" i="4019"/>
  <c r="K131" i="4019"/>
  <c r="R25" i="65"/>
  <c r="R13" i="65"/>
  <c r="R24" i="65"/>
  <c r="R27" i="65"/>
  <c r="R18" i="65"/>
  <c r="R11" i="65"/>
  <c r="R21" i="65"/>
  <c r="R17" i="65"/>
  <c r="R8" i="65"/>
  <c r="R22" i="65"/>
  <c r="R16" i="65"/>
  <c r="R28" i="65"/>
  <c r="R30" i="65"/>
  <c r="V130" i="4020" l="1"/>
  <c r="V132" i="4020" s="1"/>
  <c r="V139" i="4020" s="1"/>
  <c r="V140" i="4020" s="1"/>
  <c r="V142" i="4020" s="1"/>
  <c r="V144" i="4020" s="1"/>
  <c r="AB126" i="4018"/>
  <c r="S130" i="4018"/>
  <c r="O130" i="4018"/>
  <c r="O132" i="4018" s="1"/>
  <c r="O139" i="4018" s="1"/>
  <c r="R132" i="4018"/>
  <c r="AK142" i="4035"/>
  <c r="AK144" i="4035" s="1"/>
  <c r="O132" i="4035"/>
  <c r="X130" i="4019"/>
  <c r="X132" i="4019" s="1"/>
  <c r="X139" i="4019" s="1"/>
  <c r="X140" i="4019" s="1"/>
  <c r="AG130" i="4019"/>
  <c r="AG132" i="4019" s="1"/>
  <c r="AG139" i="4019" s="1"/>
  <c r="AG140" i="4019" s="1"/>
  <c r="AD130" i="4029"/>
  <c r="AD132" i="4029" s="1"/>
  <c r="AD139" i="4029" s="1"/>
  <c r="AD140" i="4029" s="1"/>
  <c r="H130" i="4033"/>
  <c r="H132" i="4033" s="1"/>
  <c r="H139" i="4033" s="1"/>
  <c r="L130" i="4029"/>
  <c r="L132" i="4029" s="1"/>
  <c r="L139" i="4029" s="1"/>
  <c r="F132" i="4035"/>
  <c r="O132" i="4033"/>
  <c r="O139" i="4033" s="1"/>
  <c r="AD130" i="4027"/>
  <c r="AD132" i="4027" s="1"/>
  <c r="O132" i="4019"/>
  <c r="O139" i="4019" s="1"/>
  <c r="Q132" i="4030"/>
  <c r="E128" i="4032"/>
  <c r="E145" i="4032"/>
  <c r="P145" i="4019"/>
  <c r="J130" i="4032"/>
  <c r="S130" i="4032"/>
  <c r="F132" i="4019"/>
  <c r="F139" i="4019" s="1"/>
  <c r="AL130" i="4032"/>
  <c r="AL132" i="4032" s="1"/>
  <c r="AL139" i="4032" s="1"/>
  <c r="AL140" i="4032" s="1"/>
  <c r="AL142" i="4032" s="1"/>
  <c r="AL144" i="4032" s="1"/>
  <c r="T130" i="4027"/>
  <c r="P132" i="4035"/>
  <c r="P139" i="4035" s="1"/>
  <c r="P140" i="4035" s="1"/>
  <c r="AG130" i="4027"/>
  <c r="AG132" i="4027" s="1"/>
  <c r="AG139" i="4027" s="1"/>
  <c r="AG140" i="4027" s="1"/>
  <c r="AG142" i="4027" s="1"/>
  <c r="AG144" i="4027" s="1"/>
  <c r="N132" i="4028"/>
  <c r="N139" i="4028" s="1"/>
  <c r="K126" i="4027"/>
  <c r="O132" i="4034"/>
  <c r="O139" i="4034" s="1"/>
  <c r="P130" i="4033"/>
  <c r="E126" i="4032"/>
  <c r="G130" i="4019"/>
  <c r="G132" i="4019" s="1"/>
  <c r="K132" i="4020"/>
  <c r="W130" i="4018"/>
  <c r="W132" i="4018" s="1"/>
  <c r="W139" i="4018" s="1"/>
  <c r="W140" i="4018" s="1"/>
  <c r="F130" i="4029"/>
  <c r="F132" i="4029" s="1"/>
  <c r="F139" i="4029" s="1"/>
  <c r="M130" i="4032"/>
  <c r="M132" i="4032" s="1"/>
  <c r="O130" i="4023"/>
  <c r="I130" i="4023"/>
  <c r="Y130" i="4035"/>
  <c r="Y132" i="4035" s="1"/>
  <c r="Y139" i="4035" s="1"/>
  <c r="Y140" i="4035" s="1"/>
  <c r="Y143" i="4035" s="1"/>
  <c r="AF130" i="4029"/>
  <c r="AF132" i="4029" s="1"/>
  <c r="AF139" i="4029" s="1"/>
  <c r="AF140" i="4029" s="1"/>
  <c r="AF142" i="4029" s="1"/>
  <c r="AF144" i="4029" s="1"/>
  <c r="R130" i="4032"/>
  <c r="R132" i="4032" s="1"/>
  <c r="AE130" i="4032"/>
  <c r="AE132" i="4032" s="1"/>
  <c r="AE139" i="4032" s="1"/>
  <c r="AE140" i="4032" s="1"/>
  <c r="K130" i="4028"/>
  <c r="X132" i="4033"/>
  <c r="C85" i="4035"/>
  <c r="T130" i="4032"/>
  <c r="T132" i="4032" s="1"/>
  <c r="T139" i="4032" s="1"/>
  <c r="T140" i="4032" s="1"/>
  <c r="T142" i="4032" s="1"/>
  <c r="T144" i="4032" s="1"/>
  <c r="L132" i="4027"/>
  <c r="L139" i="4027" s="1"/>
  <c r="W130" i="4028"/>
  <c r="U132" i="4031"/>
  <c r="U139" i="4031" s="1"/>
  <c r="U140" i="4031" s="1"/>
  <c r="AI130" i="4032"/>
  <c r="AI132" i="4032" s="1"/>
  <c r="AI139" i="4032" s="1"/>
  <c r="AI140" i="4032" s="1"/>
  <c r="AI142" i="4032" s="1"/>
  <c r="AI144" i="4032" s="1"/>
  <c r="U132" i="4021"/>
  <c r="L130" i="4025"/>
  <c r="AK128" i="4020"/>
  <c r="U130" i="4028"/>
  <c r="N130" i="4029"/>
  <c r="N132" i="4029" s="1"/>
  <c r="O132" i="4030"/>
  <c r="O139" i="4030" s="1"/>
  <c r="AG130" i="4024"/>
  <c r="AG132" i="4024" s="1"/>
  <c r="G145" i="4033"/>
  <c r="W130" i="4027"/>
  <c r="R132" i="4028"/>
  <c r="R130" i="4023"/>
  <c r="R132" i="4023" s="1"/>
  <c r="R139" i="4023" s="1"/>
  <c r="L130" i="4034"/>
  <c r="L132" i="4034" s="1"/>
  <c r="F130" i="4025"/>
  <c r="J130" i="4020"/>
  <c r="J132" i="4020" s="1"/>
  <c r="H132" i="4029"/>
  <c r="I132" i="4028"/>
  <c r="T132" i="4026"/>
  <c r="T139" i="4026" s="1"/>
  <c r="T140" i="4026" s="1"/>
  <c r="G132" i="4028"/>
  <c r="G139" i="4028" s="1"/>
  <c r="V132" i="4033"/>
  <c r="E130" i="4034"/>
  <c r="S145" i="4020"/>
  <c r="S120" i="4020"/>
  <c r="G128" i="4018"/>
  <c r="G120" i="4018"/>
  <c r="G131" i="4018" s="1"/>
  <c r="AP130" i="4019"/>
  <c r="AP132" i="4019" s="1"/>
  <c r="AP139" i="4019" s="1"/>
  <c r="AP140" i="4019" s="1"/>
  <c r="I130" i="4021"/>
  <c r="I132" i="4021" s="1"/>
  <c r="I139" i="4021" s="1"/>
  <c r="U132" i="4027"/>
  <c r="U139" i="4027" s="1"/>
  <c r="U140" i="4027" s="1"/>
  <c r="U142" i="4027" s="1"/>
  <c r="U144" i="4027" s="1"/>
  <c r="M128" i="4020"/>
  <c r="M120" i="4020"/>
  <c r="M131" i="4020" s="1"/>
  <c r="P132" i="4028"/>
  <c r="P139" i="4028" s="1"/>
  <c r="P140" i="4028" s="1"/>
  <c r="G132" i="4035"/>
  <c r="G139" i="4035" s="1"/>
  <c r="P126" i="4018"/>
  <c r="P120" i="4018"/>
  <c r="P131" i="4018" s="1"/>
  <c r="X130" i="4027"/>
  <c r="X132" i="4027" s="1"/>
  <c r="X139" i="4027" s="1"/>
  <c r="X140" i="4027" s="1"/>
  <c r="X143" i="4027" s="1"/>
  <c r="C84" i="4035"/>
  <c r="S120" i="4035"/>
  <c r="S131" i="4035" s="1"/>
  <c r="W132" i="4035"/>
  <c r="X132" i="4035"/>
  <c r="V132" i="4035"/>
  <c r="V139" i="4035" s="1"/>
  <c r="V140" i="4035" s="1"/>
  <c r="V143" i="4035" s="1"/>
  <c r="G128" i="4033"/>
  <c r="G130" i="4033" s="1"/>
  <c r="G120" i="4033"/>
  <c r="G131" i="4033" s="1"/>
  <c r="W132" i="4032"/>
  <c r="W139" i="4032" s="1"/>
  <c r="W140" i="4032" s="1"/>
  <c r="W142" i="4032" s="1"/>
  <c r="W144" i="4032" s="1"/>
  <c r="V132" i="4032"/>
  <c r="V139" i="4032" s="1"/>
  <c r="V140" i="4032" s="1"/>
  <c r="V143" i="4032" s="1"/>
  <c r="C84" i="4032"/>
  <c r="F120" i="4032"/>
  <c r="F131" i="4032" s="1"/>
  <c r="W132" i="4031"/>
  <c r="W139" i="4031" s="1"/>
  <c r="W140" i="4031" s="1"/>
  <c r="W142" i="4031" s="1"/>
  <c r="W144" i="4031" s="1"/>
  <c r="AM130" i="4029"/>
  <c r="AM132" i="4029" s="1"/>
  <c r="AM139" i="4029" s="1"/>
  <c r="AM140" i="4029" s="1"/>
  <c r="AM142" i="4029" s="1"/>
  <c r="AM144" i="4029" s="1"/>
  <c r="W132" i="4028"/>
  <c r="W139" i="4028" s="1"/>
  <c r="W140" i="4028" s="1"/>
  <c r="W143" i="4028" s="1"/>
  <c r="AC130" i="4028"/>
  <c r="AC132" i="4028" s="1"/>
  <c r="AC139" i="4028" s="1"/>
  <c r="AC140" i="4028" s="1"/>
  <c r="AC143" i="4028" s="1"/>
  <c r="I132" i="4027"/>
  <c r="I139" i="4027" s="1"/>
  <c r="I140" i="4027" s="1"/>
  <c r="I143" i="4027" s="1"/>
  <c r="T132" i="4027"/>
  <c r="T139" i="4027" s="1"/>
  <c r="T140" i="4027" s="1"/>
  <c r="K128" i="4027"/>
  <c r="K120" i="4027"/>
  <c r="K131" i="4027" s="1"/>
  <c r="M130" i="4035"/>
  <c r="M132" i="4035" s="1"/>
  <c r="M139" i="4035" s="1"/>
  <c r="M140" i="4035" s="1"/>
  <c r="L132" i="4035"/>
  <c r="L139" i="4035" s="1"/>
  <c r="I130" i="4034"/>
  <c r="I132" i="4034" s="1"/>
  <c r="I139" i="4034" s="1"/>
  <c r="H130" i="4032"/>
  <c r="H132" i="4032" s="1"/>
  <c r="H139" i="4032" s="1"/>
  <c r="AJ130" i="4027"/>
  <c r="AJ132" i="4027" s="1"/>
  <c r="AJ139" i="4027" s="1"/>
  <c r="AJ140" i="4027" s="1"/>
  <c r="AJ142" i="4027" s="1"/>
  <c r="AJ144" i="4027" s="1"/>
  <c r="K132" i="4028"/>
  <c r="AB139" i="4035"/>
  <c r="AB140" i="4035" s="1"/>
  <c r="AB142" i="4035" s="1"/>
  <c r="AB144" i="4035" s="1"/>
  <c r="AA128" i="4035"/>
  <c r="AA126" i="4035"/>
  <c r="R132" i="4034"/>
  <c r="R139" i="4034" s="1"/>
  <c r="N130" i="4031"/>
  <c r="N132" i="4031" s="1"/>
  <c r="N139" i="4031" s="1"/>
  <c r="F132" i="4025"/>
  <c r="AG130" i="4025"/>
  <c r="AG132" i="4025" s="1"/>
  <c r="M145" i="4020"/>
  <c r="M126" i="4020"/>
  <c r="AE128" i="4020"/>
  <c r="AE130" i="4020" s="1"/>
  <c r="AE132" i="4020" s="1"/>
  <c r="AE139" i="4020" s="1"/>
  <c r="AE140" i="4020" s="1"/>
  <c r="AE143" i="4020" s="1"/>
  <c r="M130" i="4018"/>
  <c r="M132" i="4018" s="1"/>
  <c r="M139" i="4018" s="1"/>
  <c r="N130" i="4021"/>
  <c r="N132" i="4021" s="1"/>
  <c r="N139" i="4021" s="1"/>
  <c r="L132" i="4024"/>
  <c r="V130" i="4030"/>
  <c r="V132" i="4030" s="1"/>
  <c r="O130" i="4021"/>
  <c r="O132" i="4021" s="1"/>
  <c r="O139" i="4021" s="1"/>
  <c r="O140" i="4021" s="1"/>
  <c r="C155" i="4037"/>
  <c r="C150" i="4037"/>
  <c r="C5" i="4037" s="1"/>
  <c r="C156" i="4037"/>
  <c r="C86" i="4022"/>
  <c r="C70" i="4022" s="1"/>
  <c r="C86" i="4023"/>
  <c r="C70" i="4023" s="1"/>
  <c r="C85" i="4021"/>
  <c r="T130" i="4029"/>
  <c r="T132" i="4029" s="1"/>
  <c r="Q130" i="4029"/>
  <c r="Q132" i="4029" s="1"/>
  <c r="U130" i="4020"/>
  <c r="U132" i="4020" s="1"/>
  <c r="U139" i="4020" s="1"/>
  <c r="U140" i="4020" s="1"/>
  <c r="U142" i="4020" s="1"/>
  <c r="U144" i="4020" s="1"/>
  <c r="C86" i="4036"/>
  <c r="C70" i="4036" s="1"/>
  <c r="AB130" i="4026"/>
  <c r="AB132" i="4026" s="1"/>
  <c r="AB139" i="4026" s="1"/>
  <c r="AB140" i="4026" s="1"/>
  <c r="C85" i="4019"/>
  <c r="C84" i="4019"/>
  <c r="AO130" i="4035"/>
  <c r="AO132" i="4035" s="1"/>
  <c r="AO139" i="4035" s="1"/>
  <c r="AO140" i="4035" s="1"/>
  <c r="AO143" i="4035" s="1"/>
  <c r="E130" i="4028"/>
  <c r="E132" i="4028" s="1"/>
  <c r="E139" i="4028" s="1"/>
  <c r="C84" i="4020"/>
  <c r="C85" i="4020"/>
  <c r="U130" i="4018"/>
  <c r="U132" i="4018" s="1"/>
  <c r="U139" i="4018" s="1"/>
  <c r="U140" i="4018" s="1"/>
  <c r="U143" i="4018" s="1"/>
  <c r="K145" i="4035"/>
  <c r="K131" i="4035"/>
  <c r="K128" i="4035"/>
  <c r="K126" i="4035"/>
  <c r="T130" i="4031"/>
  <c r="T132" i="4031" s="1"/>
  <c r="T139" i="4031" s="1"/>
  <c r="T140" i="4031" s="1"/>
  <c r="T142" i="4031" s="1"/>
  <c r="T144" i="4031" s="1"/>
  <c r="C84" i="4018"/>
  <c r="U130" i="4029"/>
  <c r="U132" i="4029" s="1"/>
  <c r="C84" i="4021"/>
  <c r="AD130" i="4028"/>
  <c r="AD132" i="4028" s="1"/>
  <c r="AD139" i="4028" s="1"/>
  <c r="AD140" i="4028" s="1"/>
  <c r="AD143" i="4028" s="1"/>
  <c r="AG143" i="4027"/>
  <c r="F132" i="4023"/>
  <c r="F139" i="4023" s="1"/>
  <c r="I132" i="4023"/>
  <c r="I139" i="4023" s="1"/>
  <c r="F130" i="4021"/>
  <c r="F132" i="4021" s="1"/>
  <c r="F139" i="4021" s="1"/>
  <c r="F140" i="4021" s="1"/>
  <c r="V130" i="4019"/>
  <c r="V132" i="4019" s="1"/>
  <c r="V139" i="4019" s="1"/>
  <c r="V140" i="4019" s="1"/>
  <c r="V142" i="4019" s="1"/>
  <c r="V144" i="4019" s="1"/>
  <c r="C85" i="4018"/>
  <c r="J130" i="4018"/>
  <c r="J132" i="4018" s="1"/>
  <c r="J139" i="4018" s="1"/>
  <c r="G145" i="4018"/>
  <c r="G126" i="4018"/>
  <c r="I132" i="4024"/>
  <c r="I139" i="4024" s="1"/>
  <c r="W130" i="4036"/>
  <c r="W132" i="4036" s="1"/>
  <c r="W139" i="4036" s="1"/>
  <c r="W140" i="4036" s="1"/>
  <c r="U126" i="4035"/>
  <c r="U131" i="4035"/>
  <c r="U128" i="4035"/>
  <c r="S145" i="4035"/>
  <c r="S128" i="4035"/>
  <c r="S126" i="4035"/>
  <c r="Y142" i="4035"/>
  <c r="Y144" i="4035" s="1"/>
  <c r="AH126" i="4035"/>
  <c r="AH128" i="4035"/>
  <c r="AJ126" i="4035"/>
  <c r="AJ128" i="4035"/>
  <c r="J145" i="4035"/>
  <c r="J128" i="4035"/>
  <c r="J131" i="4035"/>
  <c r="J126" i="4035"/>
  <c r="T130" i="4035"/>
  <c r="T132" i="4035" s="1"/>
  <c r="T139" i="4035" s="1"/>
  <c r="T140" i="4035" s="1"/>
  <c r="T143" i="4035" s="1"/>
  <c r="AH130" i="4032"/>
  <c r="AH132" i="4032" s="1"/>
  <c r="AH139" i="4032" s="1"/>
  <c r="AH140" i="4032" s="1"/>
  <c r="AB142" i="4032"/>
  <c r="AB144" i="4032" s="1"/>
  <c r="J132" i="4032"/>
  <c r="J139" i="4032" s="1"/>
  <c r="J140" i="4032" s="1"/>
  <c r="J143" i="4032" s="1"/>
  <c r="E130" i="4031"/>
  <c r="E132" i="4031" s="1"/>
  <c r="S130" i="4031"/>
  <c r="S132" i="4031" s="1"/>
  <c r="S139" i="4031" s="1"/>
  <c r="Z143" i="4030"/>
  <c r="AL130" i="4028"/>
  <c r="AL132" i="4028" s="1"/>
  <c r="AL139" i="4028" s="1"/>
  <c r="AL140" i="4028" s="1"/>
  <c r="AL143" i="4028" s="1"/>
  <c r="U132" i="4028"/>
  <c r="U139" i="4028" s="1"/>
  <c r="U140" i="4028" s="1"/>
  <c r="U142" i="4028" s="1"/>
  <c r="U144" i="4028" s="1"/>
  <c r="AO130" i="4028"/>
  <c r="AO132" i="4028" s="1"/>
  <c r="AO139" i="4028" s="1"/>
  <c r="AO140" i="4028" s="1"/>
  <c r="AO143" i="4028" s="1"/>
  <c r="L130" i="4028"/>
  <c r="L132" i="4028" s="1"/>
  <c r="L139" i="4028" s="1"/>
  <c r="L140" i="4028" s="1"/>
  <c r="AJ130" i="4024"/>
  <c r="AJ132" i="4024" s="1"/>
  <c r="AJ139" i="4024" s="1"/>
  <c r="AJ140" i="4024" s="1"/>
  <c r="AJ142" i="4024" s="1"/>
  <c r="AJ144" i="4024" s="1"/>
  <c r="AA130" i="4021"/>
  <c r="AA132" i="4021" s="1"/>
  <c r="AA139" i="4021" s="1"/>
  <c r="AA140" i="4021" s="1"/>
  <c r="I130" i="4018"/>
  <c r="I132" i="4018" s="1"/>
  <c r="I139" i="4018" s="1"/>
  <c r="I140" i="4018" s="1"/>
  <c r="AN128" i="4018"/>
  <c r="AN130" i="4018" s="1"/>
  <c r="AN132" i="4018" s="1"/>
  <c r="AA130" i="4018"/>
  <c r="AA132" i="4018" s="1"/>
  <c r="AA139" i="4018" s="1"/>
  <c r="AA140" i="4018" s="1"/>
  <c r="T130" i="4020"/>
  <c r="T132" i="4020" s="1"/>
  <c r="T139" i="4020" s="1"/>
  <c r="T140" i="4020" s="1"/>
  <c r="T143" i="4020" s="1"/>
  <c r="O132" i="4023"/>
  <c r="O139" i="4023" s="1"/>
  <c r="L132" i="4023"/>
  <c r="L139" i="4023" s="1"/>
  <c r="S131" i="4020"/>
  <c r="S126" i="4020"/>
  <c r="L130" i="4020"/>
  <c r="L132" i="4020" s="1"/>
  <c r="L139" i="4020" s="1"/>
  <c r="P128" i="4019"/>
  <c r="P126" i="4019"/>
  <c r="G132" i="4020"/>
  <c r="G139" i="4020" s="1"/>
  <c r="AG130" i="4020"/>
  <c r="AG132" i="4020" s="1"/>
  <c r="AG139" i="4020" s="1"/>
  <c r="AG140" i="4020" s="1"/>
  <c r="AG143" i="4020" s="1"/>
  <c r="AG130" i="4018"/>
  <c r="AG132" i="4018" s="1"/>
  <c r="AG139" i="4018" s="1"/>
  <c r="AG140" i="4018" s="1"/>
  <c r="E130" i="4023"/>
  <c r="E132" i="4023" s="1"/>
  <c r="AG130" i="4022"/>
  <c r="AG132" i="4022" s="1"/>
  <c r="AG139" i="4022" s="1"/>
  <c r="AG140" i="4022" s="1"/>
  <c r="AG142" i="4022" s="1"/>
  <c r="AG144" i="4022" s="1"/>
  <c r="F130" i="4022"/>
  <c r="F132" i="4022" s="1"/>
  <c r="AB130" i="4020"/>
  <c r="AB132" i="4020" s="1"/>
  <c r="AB139" i="4020" s="1"/>
  <c r="AB140" i="4020" s="1"/>
  <c r="AB142" i="4020" s="1"/>
  <c r="AB144" i="4020" s="1"/>
  <c r="AP130" i="4020"/>
  <c r="AP132" i="4020" s="1"/>
  <c r="AP139" i="4020" s="1"/>
  <c r="AP140" i="4020" s="1"/>
  <c r="C86" i="4025"/>
  <c r="C70" i="4025" s="1"/>
  <c r="Y130" i="4033"/>
  <c r="Y132" i="4033" s="1"/>
  <c r="Y139" i="4033" s="1"/>
  <c r="Y140" i="4033" s="1"/>
  <c r="AH130" i="4033"/>
  <c r="AH132" i="4033" s="1"/>
  <c r="AH139" i="4033" s="1"/>
  <c r="AH140" i="4033" s="1"/>
  <c r="AH142" i="4033" s="1"/>
  <c r="AH144" i="4033" s="1"/>
  <c r="U130" i="4032"/>
  <c r="U132" i="4032" s="1"/>
  <c r="U139" i="4032" s="1"/>
  <c r="U140" i="4032" s="1"/>
  <c r="U142" i="4032" s="1"/>
  <c r="U144" i="4032" s="1"/>
  <c r="P130" i="4032"/>
  <c r="P132" i="4032" s="1"/>
  <c r="P139" i="4032" s="1"/>
  <c r="P140" i="4032" s="1"/>
  <c r="P143" i="4032" s="1"/>
  <c r="I130" i="4029"/>
  <c r="I132" i="4029" s="1"/>
  <c r="I139" i="4029" s="1"/>
  <c r="K132" i="4029"/>
  <c r="K139" i="4029" s="1"/>
  <c r="K140" i="4029" s="1"/>
  <c r="K143" i="4029" s="1"/>
  <c r="AR130" i="4027"/>
  <c r="AR132" i="4027" s="1"/>
  <c r="AR139" i="4027" s="1"/>
  <c r="AR140" i="4027" s="1"/>
  <c r="AI130" i="4027"/>
  <c r="AI132" i="4027" s="1"/>
  <c r="Y130" i="4027"/>
  <c r="Y132" i="4027" s="1"/>
  <c r="Y139" i="4027" s="1"/>
  <c r="Y140" i="4027" s="1"/>
  <c r="Y143" i="4027" s="1"/>
  <c r="N130" i="4026"/>
  <c r="N132" i="4026" s="1"/>
  <c r="N139" i="4026" s="1"/>
  <c r="AK130" i="4026"/>
  <c r="AK132" i="4026" s="1"/>
  <c r="AK139" i="4026" s="1"/>
  <c r="AK140" i="4026" s="1"/>
  <c r="AK142" i="4026" s="1"/>
  <c r="AK144" i="4026" s="1"/>
  <c r="AC130" i="4036"/>
  <c r="AC132" i="4036" s="1"/>
  <c r="AC139" i="4036" s="1"/>
  <c r="AC140" i="4036" s="1"/>
  <c r="AC142" i="4036" s="1"/>
  <c r="AC144" i="4036" s="1"/>
  <c r="AN142" i="4036"/>
  <c r="AN144" i="4036" s="1"/>
  <c r="E130" i="4035"/>
  <c r="E132" i="4035" s="1"/>
  <c r="AC126" i="4035"/>
  <c r="AC128" i="4035"/>
  <c r="AL126" i="4035"/>
  <c r="AL128" i="4035"/>
  <c r="AR126" i="4034"/>
  <c r="AR128" i="4034"/>
  <c r="E132" i="4034"/>
  <c r="E139" i="4034" s="1"/>
  <c r="S132" i="4032"/>
  <c r="S139" i="4032" s="1"/>
  <c r="S140" i="4032" s="1"/>
  <c r="AR130" i="4032"/>
  <c r="AR132" i="4032" s="1"/>
  <c r="AR139" i="4032" s="1"/>
  <c r="AR140" i="4032" s="1"/>
  <c r="AR143" i="4032" s="1"/>
  <c r="G132" i="4032"/>
  <c r="G139" i="4032" s="1"/>
  <c r="G140" i="4032" s="1"/>
  <c r="G143" i="4032" s="1"/>
  <c r="C85" i="4031"/>
  <c r="AO130" i="4029"/>
  <c r="AO132" i="4029" s="1"/>
  <c r="AO139" i="4029" s="1"/>
  <c r="AO140" i="4029" s="1"/>
  <c r="AO143" i="4029" s="1"/>
  <c r="O130" i="4029"/>
  <c r="O132" i="4029" s="1"/>
  <c r="O139" i="4029" s="1"/>
  <c r="O140" i="4029" s="1"/>
  <c r="X130" i="4028"/>
  <c r="X132" i="4028" s="1"/>
  <c r="X139" i="4028" s="1"/>
  <c r="X140" i="4028" s="1"/>
  <c r="AF130" i="4028"/>
  <c r="AF132" i="4028" s="1"/>
  <c r="AF139" i="4028" s="1"/>
  <c r="AF140" i="4028" s="1"/>
  <c r="AF143" i="4028" s="1"/>
  <c r="AM130" i="4028"/>
  <c r="AM132" i="4028" s="1"/>
  <c r="AM139" i="4028" s="1"/>
  <c r="AM140" i="4028" s="1"/>
  <c r="AM143" i="4028" s="1"/>
  <c r="C85" i="4028"/>
  <c r="T130" i="4028"/>
  <c r="T132" i="4028" s="1"/>
  <c r="T139" i="4028" s="1"/>
  <c r="T140" i="4028" s="1"/>
  <c r="T143" i="4028" s="1"/>
  <c r="G130" i="4027"/>
  <c r="G132" i="4027" s="1"/>
  <c r="G139" i="4027" s="1"/>
  <c r="G140" i="4027" s="1"/>
  <c r="F132" i="4027"/>
  <c r="F139" i="4027" s="1"/>
  <c r="Z130" i="4027"/>
  <c r="Z132" i="4027" s="1"/>
  <c r="Z139" i="4027" s="1"/>
  <c r="Z140" i="4027" s="1"/>
  <c r="Z143" i="4027" s="1"/>
  <c r="X142" i="4027"/>
  <c r="X144" i="4027" s="1"/>
  <c r="P132" i="4027"/>
  <c r="AD130" i="4024"/>
  <c r="AD132" i="4024" s="1"/>
  <c r="AD139" i="4024" s="1"/>
  <c r="AD140" i="4024" s="1"/>
  <c r="AD142" i="4024" s="1"/>
  <c r="AD144" i="4024" s="1"/>
  <c r="T142" i="4022"/>
  <c r="T144" i="4022" s="1"/>
  <c r="P132" i="4020"/>
  <c r="P139" i="4020" s="1"/>
  <c r="Y130" i="4020"/>
  <c r="Y132" i="4020" s="1"/>
  <c r="Y139" i="4020" s="1"/>
  <c r="Y140" i="4020" s="1"/>
  <c r="Y142" i="4020" s="1"/>
  <c r="Y144" i="4020" s="1"/>
  <c r="O145" i="4020"/>
  <c r="O131" i="4020"/>
  <c r="O126" i="4020"/>
  <c r="O128" i="4020"/>
  <c r="AK128" i="4018"/>
  <c r="AK130" i="4018" s="1"/>
  <c r="AK132" i="4018" s="1"/>
  <c r="AK139" i="4018" s="1"/>
  <c r="AK140" i="4018" s="1"/>
  <c r="AK142" i="4018" s="1"/>
  <c r="AK144" i="4018" s="1"/>
  <c r="V130" i="4018"/>
  <c r="V132" i="4018" s="1"/>
  <c r="V139" i="4018" s="1"/>
  <c r="V140" i="4018" s="1"/>
  <c r="V142" i="4018" s="1"/>
  <c r="V144" i="4018" s="1"/>
  <c r="AF130" i="4018"/>
  <c r="AF132" i="4018" s="1"/>
  <c r="AF139" i="4018" s="1"/>
  <c r="AF140" i="4018" s="1"/>
  <c r="AE126" i="4018"/>
  <c r="AE130" i="4018" s="1"/>
  <c r="AE132" i="4018" s="1"/>
  <c r="AE139" i="4018" s="1"/>
  <c r="AE140" i="4018" s="1"/>
  <c r="AE142" i="4018" s="1"/>
  <c r="AE144" i="4018" s="1"/>
  <c r="AB130" i="4018"/>
  <c r="AB132" i="4018" s="1"/>
  <c r="AB139" i="4018" s="1"/>
  <c r="AB140" i="4018" s="1"/>
  <c r="AB143" i="4018" s="1"/>
  <c r="X130" i="4018"/>
  <c r="X132" i="4018" s="1"/>
  <c r="X139" i="4018" s="1"/>
  <c r="X140" i="4018" s="1"/>
  <c r="X143" i="4018" s="1"/>
  <c r="Y130" i="4018"/>
  <c r="Y132" i="4018" s="1"/>
  <c r="Y139" i="4018" s="1"/>
  <c r="Y140" i="4018" s="1"/>
  <c r="Y143" i="4018" s="1"/>
  <c r="AO130" i="4036"/>
  <c r="AO132" i="4036" s="1"/>
  <c r="AO139" i="4036" s="1"/>
  <c r="AO140" i="4036" s="1"/>
  <c r="AE142" i="4036"/>
  <c r="AE144" i="4036" s="1"/>
  <c r="AQ142" i="4036"/>
  <c r="AQ144" i="4036" s="1"/>
  <c r="AH142" i="4036"/>
  <c r="AH144" i="4036" s="1"/>
  <c r="S142" i="4036"/>
  <c r="S144" i="4036" s="1"/>
  <c r="N130" i="4036"/>
  <c r="N132" i="4036" s="1"/>
  <c r="H130" i="4035"/>
  <c r="H132" i="4035" s="1"/>
  <c r="H139" i="4035" s="1"/>
  <c r="AE142" i="4035"/>
  <c r="AE144" i="4035" s="1"/>
  <c r="AF130" i="4035"/>
  <c r="AF132" i="4035" s="1"/>
  <c r="AF139" i="4035" s="1"/>
  <c r="AF140" i="4035" s="1"/>
  <c r="AF142" i="4035" s="1"/>
  <c r="AF144" i="4035" s="1"/>
  <c r="F132" i="4034"/>
  <c r="F139" i="4034" s="1"/>
  <c r="AE142" i="4034"/>
  <c r="AE144" i="4034" s="1"/>
  <c r="AG130" i="4034"/>
  <c r="AG132" i="4034" s="1"/>
  <c r="AG139" i="4034" s="1"/>
  <c r="AG140" i="4034" s="1"/>
  <c r="AG142" i="4034" s="1"/>
  <c r="AG144" i="4034" s="1"/>
  <c r="Z143" i="4033"/>
  <c r="P132" i="4033"/>
  <c r="P139" i="4033" s="1"/>
  <c r="V142" i="4032"/>
  <c r="V144" i="4032" s="1"/>
  <c r="AK126" i="4032"/>
  <c r="AK128" i="4032"/>
  <c r="AO126" i="4032"/>
  <c r="AO128" i="4032"/>
  <c r="E130" i="4032"/>
  <c r="E132" i="4032" s="1"/>
  <c r="E139" i="4032" s="1"/>
  <c r="L145" i="4032"/>
  <c r="L126" i="4032"/>
  <c r="L131" i="4032"/>
  <c r="L128" i="4032"/>
  <c r="AD128" i="4032"/>
  <c r="AD126" i="4032"/>
  <c r="AM128" i="4032"/>
  <c r="AM126" i="4032"/>
  <c r="AF126" i="4032"/>
  <c r="AF128" i="4032"/>
  <c r="I145" i="4032"/>
  <c r="I128" i="4032"/>
  <c r="I126" i="4032"/>
  <c r="I131" i="4032"/>
  <c r="N145" i="4032"/>
  <c r="N126" i="4032"/>
  <c r="N128" i="4032"/>
  <c r="N131" i="4032"/>
  <c r="AC128" i="4029"/>
  <c r="AC126" i="4029"/>
  <c r="W126" i="4029"/>
  <c r="W128" i="4029"/>
  <c r="W131" i="4029"/>
  <c r="X128" i="4029"/>
  <c r="X131" i="4029"/>
  <c r="X126" i="4029"/>
  <c r="AP126" i="4029"/>
  <c r="AP128" i="4029"/>
  <c r="AL128" i="4029"/>
  <c r="AL126" i="4029"/>
  <c r="AG126" i="4029"/>
  <c r="AG128" i="4029"/>
  <c r="F145" i="4028"/>
  <c r="F131" i="4028"/>
  <c r="F126" i="4028"/>
  <c r="F128" i="4028"/>
  <c r="O145" i="4028"/>
  <c r="O128" i="4028"/>
  <c r="O131" i="4028"/>
  <c r="O126" i="4028"/>
  <c r="J130" i="4028"/>
  <c r="J132" i="4028" s="1"/>
  <c r="J139" i="4028" s="1"/>
  <c r="AA143" i="4028"/>
  <c r="AH130" i="4028"/>
  <c r="AH132" i="4028" s="1"/>
  <c r="AH139" i="4028" s="1"/>
  <c r="AH140" i="4028" s="1"/>
  <c r="H132" i="4027"/>
  <c r="H139" i="4027" s="1"/>
  <c r="AL130" i="4027"/>
  <c r="AL132" i="4027" s="1"/>
  <c r="AL139" i="4027" s="1"/>
  <c r="AL140" i="4027" s="1"/>
  <c r="U142" i="4025"/>
  <c r="U144" i="4025" s="1"/>
  <c r="AN143" i="4025"/>
  <c r="E130" i="4025"/>
  <c r="E132" i="4025" s="1"/>
  <c r="E139" i="4025" s="1"/>
  <c r="AA130" i="4024"/>
  <c r="AA132" i="4024" s="1"/>
  <c r="AA139" i="4024" s="1"/>
  <c r="AA140" i="4024" s="1"/>
  <c r="AA143" i="4024" s="1"/>
  <c r="T142" i="4024"/>
  <c r="T144" i="4024" s="1"/>
  <c r="C86" i="4024"/>
  <c r="C70" i="4024" s="1"/>
  <c r="O132" i="4024"/>
  <c r="O139" i="4024" s="1"/>
  <c r="U143" i="4024"/>
  <c r="AA130" i="4023"/>
  <c r="AA132" i="4023" s="1"/>
  <c r="AA139" i="4023" s="1"/>
  <c r="AA140" i="4023" s="1"/>
  <c r="AA142" i="4023" s="1"/>
  <c r="AA144" i="4023" s="1"/>
  <c r="AD130" i="4023"/>
  <c r="AD132" i="4023" s="1"/>
  <c r="AD139" i="4023" s="1"/>
  <c r="AD140" i="4023" s="1"/>
  <c r="AD142" i="4023" s="1"/>
  <c r="AD144" i="4023" s="1"/>
  <c r="AG130" i="4023"/>
  <c r="AG132" i="4023" s="1"/>
  <c r="AG139" i="4023" s="1"/>
  <c r="AG140" i="4023" s="1"/>
  <c r="AG142" i="4023" s="1"/>
  <c r="AG144" i="4023" s="1"/>
  <c r="AA130" i="4022"/>
  <c r="AA132" i="4022" s="1"/>
  <c r="AA139" i="4022" s="1"/>
  <c r="AA140" i="4022" s="1"/>
  <c r="AA142" i="4022" s="1"/>
  <c r="AA144" i="4022" s="1"/>
  <c r="I130" i="4022"/>
  <c r="I132" i="4022" s="1"/>
  <c r="L130" i="4022"/>
  <c r="L132" i="4022" s="1"/>
  <c r="L139" i="4022" s="1"/>
  <c r="E130" i="4022"/>
  <c r="E132" i="4022" s="1"/>
  <c r="E139" i="4022" s="1"/>
  <c r="V130" i="4021"/>
  <c r="V132" i="4021" s="1"/>
  <c r="V139" i="4021" s="1"/>
  <c r="V140" i="4021" s="1"/>
  <c r="V142" i="4021" s="1"/>
  <c r="V144" i="4021" s="1"/>
  <c r="X130" i="4021"/>
  <c r="X132" i="4021" s="1"/>
  <c r="X139" i="4021" s="1"/>
  <c r="X140" i="4021" s="1"/>
  <c r="AO143" i="4021"/>
  <c r="AD126" i="4021"/>
  <c r="AD128" i="4021"/>
  <c r="S128" i="4020"/>
  <c r="AQ130" i="4020"/>
  <c r="AQ132" i="4020" s="1"/>
  <c r="AQ139" i="4020" s="1"/>
  <c r="AQ140" i="4020" s="1"/>
  <c r="AQ142" i="4020" s="1"/>
  <c r="AQ144" i="4020" s="1"/>
  <c r="F145" i="4020"/>
  <c r="F128" i="4020"/>
  <c r="F126" i="4020"/>
  <c r="F131" i="4020"/>
  <c r="AN130" i="4020"/>
  <c r="AN132" i="4020" s="1"/>
  <c r="AN139" i="4020" s="1"/>
  <c r="AN140" i="4020" s="1"/>
  <c r="AN142" i="4020" s="1"/>
  <c r="AN144" i="4020" s="1"/>
  <c r="X132" i="4020"/>
  <c r="X139" i="4020" s="1"/>
  <c r="X140" i="4020" s="1"/>
  <c r="V143" i="4020"/>
  <c r="P128" i="4018"/>
  <c r="L130" i="4018"/>
  <c r="L132" i="4018" s="1"/>
  <c r="L139" i="4018" s="1"/>
  <c r="L140" i="4018" s="1"/>
  <c r="AQ130" i="4018"/>
  <c r="AQ132" i="4018" s="1"/>
  <c r="AQ139" i="4018" s="1"/>
  <c r="AQ140" i="4018" s="1"/>
  <c r="AQ142" i="4018" s="1"/>
  <c r="AQ144" i="4018" s="1"/>
  <c r="E130" i="4018"/>
  <c r="E132" i="4018" s="1"/>
  <c r="E139" i="4018" s="1"/>
  <c r="AJ130" i="4018"/>
  <c r="AJ132" i="4018" s="1"/>
  <c r="F145" i="4018"/>
  <c r="F131" i="4018"/>
  <c r="F126" i="4018"/>
  <c r="F128" i="4018"/>
  <c r="AP128" i="4018"/>
  <c r="AP126" i="4018"/>
  <c r="AD128" i="4018"/>
  <c r="AD126" i="4018"/>
  <c r="Y130" i="4019"/>
  <c r="Y132" i="4019" s="1"/>
  <c r="Y139" i="4019" s="1"/>
  <c r="Y140" i="4019" s="1"/>
  <c r="Y142" i="4019" s="1"/>
  <c r="Y144" i="4019" s="1"/>
  <c r="AJ130" i="4025"/>
  <c r="AJ132" i="4025" s="1"/>
  <c r="AJ139" i="4025" s="1"/>
  <c r="AJ140" i="4025" s="1"/>
  <c r="AJ143" i="4025" s="1"/>
  <c r="AM130" i="4025"/>
  <c r="AM132" i="4025" s="1"/>
  <c r="AM139" i="4025" s="1"/>
  <c r="AM140" i="4025" s="1"/>
  <c r="AM143" i="4025" s="1"/>
  <c r="AK130" i="4025"/>
  <c r="AK132" i="4025" s="1"/>
  <c r="L132" i="4025"/>
  <c r="L139" i="4025" s="1"/>
  <c r="AF142" i="4034"/>
  <c r="AF144" i="4034" s="1"/>
  <c r="AF143" i="4034"/>
  <c r="AH142" i="4024"/>
  <c r="AH144" i="4024" s="1"/>
  <c r="AH143" i="4024"/>
  <c r="AH142" i="4022"/>
  <c r="AH144" i="4022" s="1"/>
  <c r="AH143" i="4022"/>
  <c r="W130" i="4026"/>
  <c r="W132" i="4026" s="1"/>
  <c r="W139" i="4026" s="1"/>
  <c r="W140" i="4026" s="1"/>
  <c r="W142" i="4026" s="1"/>
  <c r="W144" i="4026" s="1"/>
  <c r="AQ142" i="4022"/>
  <c r="AQ144" i="4022" s="1"/>
  <c r="AQ143" i="4022"/>
  <c r="AQ143" i="4035"/>
  <c r="AQ142" i="4035"/>
  <c r="AQ144" i="4035" s="1"/>
  <c r="U142" i="4034"/>
  <c r="U144" i="4034" s="1"/>
  <c r="U143" i="4034"/>
  <c r="AQ142" i="4024"/>
  <c r="AQ144" i="4024" s="1"/>
  <c r="AQ143" i="4024"/>
  <c r="Y143" i="4036"/>
  <c r="Y142" i="4036"/>
  <c r="Y144" i="4036" s="1"/>
  <c r="AD143" i="4035"/>
  <c r="AD142" i="4035"/>
  <c r="AD144" i="4035" s="1"/>
  <c r="AB143" i="4025"/>
  <c r="AB142" i="4025"/>
  <c r="AB144" i="4025" s="1"/>
  <c r="W142" i="4024"/>
  <c r="W144" i="4024" s="1"/>
  <c r="W143" i="4024"/>
  <c r="V142" i="4022"/>
  <c r="V144" i="4022" s="1"/>
  <c r="V143" i="4022"/>
  <c r="AG143" i="4035"/>
  <c r="AG142" i="4035"/>
  <c r="AG144" i="4035" s="1"/>
  <c r="AL142" i="4034"/>
  <c r="AL144" i="4034" s="1"/>
  <c r="AL143" i="4034"/>
  <c r="X143" i="4019"/>
  <c r="AO143" i="4025"/>
  <c r="AO142" i="4025"/>
  <c r="AO144" i="4025" s="1"/>
  <c r="AC142" i="4034"/>
  <c r="AC144" i="4034" s="1"/>
  <c r="AC143" i="4034"/>
  <c r="AQ142" i="4032"/>
  <c r="AQ144" i="4032" s="1"/>
  <c r="AQ143" i="4032"/>
  <c r="U142" i="4031"/>
  <c r="U144" i="4031" s="1"/>
  <c r="U143" i="4031"/>
  <c r="AB142" i="4031"/>
  <c r="AB144" i="4031" s="1"/>
  <c r="AB143" i="4031"/>
  <c r="AD142" i="4029"/>
  <c r="AD144" i="4029" s="1"/>
  <c r="AD143" i="4029"/>
  <c r="T142" i="4027"/>
  <c r="T144" i="4027" s="1"/>
  <c r="Y143" i="4028"/>
  <c r="Y142" i="4028"/>
  <c r="Y144" i="4028" s="1"/>
  <c r="T143" i="4026"/>
  <c r="AG143" i="4028"/>
  <c r="AG142" i="4028"/>
  <c r="AG144" i="4028" s="1"/>
  <c r="W143" i="4025"/>
  <c r="W142" i="4025"/>
  <c r="W144" i="4025" s="1"/>
  <c r="Z142" i="4024"/>
  <c r="Z144" i="4024" s="1"/>
  <c r="Z143" i="4024"/>
  <c r="AL142" i="4022"/>
  <c r="AL144" i="4022" s="1"/>
  <c r="AL143" i="4022"/>
  <c r="Y142" i="4022"/>
  <c r="Y144" i="4022" s="1"/>
  <c r="Y143" i="4022"/>
  <c r="AO142" i="4022"/>
  <c r="AO144" i="4022" s="1"/>
  <c r="AO143" i="4022"/>
  <c r="W142" i="4034"/>
  <c r="W144" i="4034" s="1"/>
  <c r="W143" i="4034"/>
  <c r="AI142" i="4034"/>
  <c r="AI144" i="4034" s="1"/>
  <c r="AI143" i="4034"/>
  <c r="AN142" i="4032"/>
  <c r="AN144" i="4032" s="1"/>
  <c r="AN143" i="4032"/>
  <c r="AH142" i="4027"/>
  <c r="AH144" i="4027" s="1"/>
  <c r="AH143" i="4027"/>
  <c r="AK142" i="4024"/>
  <c r="AK144" i="4024" s="1"/>
  <c r="AK143" i="4024"/>
  <c r="AF143" i="4025"/>
  <c r="AF142" i="4025"/>
  <c r="AF144" i="4025" s="1"/>
  <c r="AE143" i="4025"/>
  <c r="AE142" i="4025"/>
  <c r="AE144" i="4025" s="1"/>
  <c r="AO142" i="4024"/>
  <c r="AO144" i="4024" s="1"/>
  <c r="AO143" i="4024"/>
  <c r="AI142" i="4022"/>
  <c r="AI144" i="4022" s="1"/>
  <c r="AI143" i="4022"/>
  <c r="AG142" i="4019"/>
  <c r="AG144" i="4019" s="1"/>
  <c r="AG143" i="4019"/>
  <c r="AG142" i="4021"/>
  <c r="AG144" i="4021" s="1"/>
  <c r="AG143" i="4021"/>
  <c r="AM142" i="4018"/>
  <c r="AM144" i="4018" s="1"/>
  <c r="AM143" i="4018"/>
  <c r="AF142" i="4022"/>
  <c r="AF144" i="4022" s="1"/>
  <c r="AF143" i="4022"/>
  <c r="AL142" i="4020"/>
  <c r="AL144" i="4020" s="1"/>
  <c r="AL143" i="4020"/>
  <c r="AD142" i="4036"/>
  <c r="AD144" i="4036" s="1"/>
  <c r="AD143" i="4036"/>
  <c r="Y142" i="4032"/>
  <c r="Y144" i="4032" s="1"/>
  <c r="Y143" i="4032"/>
  <c r="V143" i="4025"/>
  <c r="V142" i="4025"/>
  <c r="V144" i="4025" s="1"/>
  <c r="AI143" i="4025"/>
  <c r="AI142" i="4025"/>
  <c r="AI144" i="4025" s="1"/>
  <c r="AQ143" i="4025"/>
  <c r="AQ142" i="4025"/>
  <c r="AQ144" i="4025" s="1"/>
  <c r="AP142" i="4036"/>
  <c r="AP144" i="4036" s="1"/>
  <c r="AP143" i="4036"/>
  <c r="AD142" i="4031"/>
  <c r="AD144" i="4031" s="1"/>
  <c r="AD143" i="4031"/>
  <c r="AJ143" i="4036"/>
  <c r="AJ142" i="4036"/>
  <c r="AJ144" i="4036" s="1"/>
  <c r="AI142" i="4036"/>
  <c r="AI144" i="4036" s="1"/>
  <c r="AI143" i="4036"/>
  <c r="AR142" i="4036"/>
  <c r="AR144" i="4036" s="1"/>
  <c r="AR143" i="4036"/>
  <c r="AJ142" i="4032"/>
  <c r="AJ144" i="4032" s="1"/>
  <c r="AJ143" i="4032"/>
  <c r="AB142" i="4026"/>
  <c r="AB144" i="4026" s="1"/>
  <c r="AB143" i="4026"/>
  <c r="AR142" i="4022"/>
  <c r="AR144" i="4022" s="1"/>
  <c r="AR143" i="4022"/>
  <c r="AM142" i="4036"/>
  <c r="AM144" i="4036" s="1"/>
  <c r="AM143" i="4036"/>
  <c r="V143" i="4036"/>
  <c r="V142" i="4036"/>
  <c r="V144" i="4036" s="1"/>
  <c r="AE142" i="4022"/>
  <c r="AE144" i="4022" s="1"/>
  <c r="AE143" i="4022"/>
  <c r="Y143" i="4025"/>
  <c r="Y142" i="4025"/>
  <c r="Y144" i="4025" s="1"/>
  <c r="AC142" i="4022"/>
  <c r="AC144" i="4022" s="1"/>
  <c r="AC143" i="4022"/>
  <c r="X142" i="4036"/>
  <c r="X144" i="4036" s="1"/>
  <c r="X143" i="4036"/>
  <c r="Z142" i="4034"/>
  <c r="Z144" i="4034" s="1"/>
  <c r="Z143" i="4034"/>
  <c r="AE142" i="4032"/>
  <c r="AE144" i="4032" s="1"/>
  <c r="AE143" i="4032"/>
  <c r="AB142" i="4024"/>
  <c r="AB144" i="4024" s="1"/>
  <c r="AB143" i="4024"/>
  <c r="AB142" i="4022"/>
  <c r="AB144" i="4022" s="1"/>
  <c r="AB143" i="4022"/>
  <c r="AF142" i="4024"/>
  <c r="AF144" i="4024" s="1"/>
  <c r="AF143" i="4024"/>
  <c r="AD142" i="4020"/>
  <c r="AD144" i="4020" s="1"/>
  <c r="AD143" i="4020"/>
  <c r="AJ142" i="4021"/>
  <c r="AJ144" i="4021" s="1"/>
  <c r="AJ143" i="4021"/>
  <c r="AK142" i="4031"/>
  <c r="AK144" i="4031" s="1"/>
  <c r="AK143" i="4031"/>
  <c r="W142" i="4022"/>
  <c r="W144" i="4022" s="1"/>
  <c r="W143" i="4022"/>
  <c r="AE143" i="4024"/>
  <c r="AE142" i="4024"/>
  <c r="AE144" i="4024" s="1"/>
  <c r="V143" i="4024"/>
  <c r="V142" i="4024"/>
  <c r="V144" i="4024" s="1"/>
  <c r="AI142" i="4024"/>
  <c r="AI144" i="4024" s="1"/>
  <c r="AI143" i="4024"/>
  <c r="AR142" i="4035"/>
  <c r="AR144" i="4035" s="1"/>
  <c r="AR143" i="4035"/>
  <c r="V142" i="4023"/>
  <c r="V144" i="4023" s="1"/>
  <c r="V143" i="4023"/>
  <c r="AE142" i="4023"/>
  <c r="AE144" i="4023" s="1"/>
  <c r="AE143" i="4023"/>
  <c r="AL142" i="4023"/>
  <c r="AL144" i="4023" s="1"/>
  <c r="AL143" i="4023"/>
  <c r="T142" i="4023"/>
  <c r="T144" i="4023" s="1"/>
  <c r="T143" i="4023"/>
  <c r="AB142" i="4023"/>
  <c r="AB144" i="4023" s="1"/>
  <c r="AB143" i="4023"/>
  <c r="AO142" i="4023"/>
  <c r="AO144" i="4023" s="1"/>
  <c r="AO143" i="4023"/>
  <c r="AQ142" i="4023"/>
  <c r="AQ144" i="4023" s="1"/>
  <c r="AQ143" i="4023"/>
  <c r="AC142" i="4023"/>
  <c r="AC144" i="4023" s="1"/>
  <c r="AC143" i="4023"/>
  <c r="AN142" i="4023"/>
  <c r="AN144" i="4023" s="1"/>
  <c r="AN143" i="4023"/>
  <c r="AQ126" i="4019"/>
  <c r="AQ128" i="4019"/>
  <c r="AG126" i="4032"/>
  <c r="AG128" i="4032"/>
  <c r="N145" i="4030"/>
  <c r="N126" i="4030"/>
  <c r="N128" i="4030"/>
  <c r="N131" i="4030"/>
  <c r="AD126" i="4030"/>
  <c r="AD128" i="4030"/>
  <c r="AG139" i="4025"/>
  <c r="AG140" i="4025" s="1"/>
  <c r="AG142" i="4025" s="1"/>
  <c r="AG144" i="4025" s="1"/>
  <c r="Q145" i="4026"/>
  <c r="Q131" i="4026"/>
  <c r="Q126" i="4026"/>
  <c r="Q128" i="4026"/>
  <c r="H139" i="4024"/>
  <c r="N145" i="4019"/>
  <c r="N131" i="4019"/>
  <c r="N126" i="4019"/>
  <c r="N128" i="4019"/>
  <c r="AG139" i="4030"/>
  <c r="AG140" i="4030" s="1"/>
  <c r="C160" i="4026"/>
  <c r="AL128" i="4030"/>
  <c r="AL126" i="4030"/>
  <c r="I145" i="4030"/>
  <c r="I131" i="4030"/>
  <c r="I126" i="4030"/>
  <c r="I128" i="4030"/>
  <c r="AH128" i="4029"/>
  <c r="AH126" i="4029"/>
  <c r="G145" i="4029"/>
  <c r="G131" i="4029"/>
  <c r="G126" i="4029"/>
  <c r="G128" i="4029"/>
  <c r="N139" i="4029"/>
  <c r="V139" i="4030"/>
  <c r="V140" i="4030" s="1"/>
  <c r="V143" i="4030" s="1"/>
  <c r="AH126" i="4026"/>
  <c r="AH128" i="4026"/>
  <c r="N139" i="4025"/>
  <c r="M139" i="4023"/>
  <c r="J139" i="4025"/>
  <c r="S139" i="4024"/>
  <c r="AI128" i="4021"/>
  <c r="AI126" i="4021"/>
  <c r="N145" i="4020"/>
  <c r="N128" i="4020"/>
  <c r="N126" i="4020"/>
  <c r="N131" i="4020"/>
  <c r="H145" i="4018"/>
  <c r="H131" i="4018"/>
  <c r="H126" i="4018"/>
  <c r="H128" i="4018"/>
  <c r="F139" i="4035"/>
  <c r="P139" i="4034"/>
  <c r="U126" i="4033"/>
  <c r="U131" i="4033"/>
  <c r="U128" i="4033"/>
  <c r="O145" i="4032"/>
  <c r="O128" i="4032"/>
  <c r="O126" i="4032"/>
  <c r="O131" i="4032"/>
  <c r="C84" i="4029"/>
  <c r="AM128" i="4030"/>
  <c r="AM126" i="4030"/>
  <c r="AF126" i="4027"/>
  <c r="AF128" i="4027"/>
  <c r="M145" i="4026"/>
  <c r="M128" i="4026"/>
  <c r="M131" i="4026"/>
  <c r="M126" i="4026"/>
  <c r="H140" i="4025"/>
  <c r="G139" i="4023"/>
  <c r="M140" i="4025"/>
  <c r="AN128" i="4021"/>
  <c r="AN126" i="4021"/>
  <c r="R145" i="4020"/>
  <c r="R128" i="4020"/>
  <c r="R126" i="4020"/>
  <c r="R131" i="4020"/>
  <c r="N139" i="4023"/>
  <c r="W126" i="4019"/>
  <c r="W131" i="4019"/>
  <c r="W128" i="4019"/>
  <c r="G140" i="4022"/>
  <c r="Y128" i="4030"/>
  <c r="Y126" i="4030"/>
  <c r="F139" i="4030"/>
  <c r="K140" i="4025"/>
  <c r="J140" i="4023"/>
  <c r="AC128" i="4033"/>
  <c r="AC126" i="4033"/>
  <c r="H140" i="4034"/>
  <c r="H143" i="4034" s="1"/>
  <c r="AE128" i="4031"/>
  <c r="AE126" i="4031"/>
  <c r="AB128" i="4028"/>
  <c r="AB126" i="4028"/>
  <c r="Y126" i="4026"/>
  <c r="Y128" i="4026"/>
  <c r="S140" i="4025"/>
  <c r="S143" i="4025" s="1"/>
  <c r="N140" i="4024"/>
  <c r="N143" i="4024" s="1"/>
  <c r="Q145" i="4021"/>
  <c r="Q131" i="4021"/>
  <c r="Q126" i="4021"/>
  <c r="Q128" i="4021"/>
  <c r="S132" i="4018"/>
  <c r="F139" i="4025"/>
  <c r="J139" i="4034"/>
  <c r="N139" i="4034"/>
  <c r="Q139" i="4030"/>
  <c r="AC139" i="4025"/>
  <c r="AC140" i="4025" s="1"/>
  <c r="O139" i="4035"/>
  <c r="N145" i="4033"/>
  <c r="N128" i="4033"/>
  <c r="N126" i="4033"/>
  <c r="N131" i="4033"/>
  <c r="M145" i="4033"/>
  <c r="M131" i="4033"/>
  <c r="M128" i="4033"/>
  <c r="M126" i="4033"/>
  <c r="K139" i="4034"/>
  <c r="X139" i="4033"/>
  <c r="X140" i="4033" s="1"/>
  <c r="X142" i="4033" s="1"/>
  <c r="X144" i="4033" s="1"/>
  <c r="G145" i="4031"/>
  <c r="G126" i="4031"/>
  <c r="G131" i="4031"/>
  <c r="G128" i="4031"/>
  <c r="I145" i="4031"/>
  <c r="I131" i="4031"/>
  <c r="I128" i="4031"/>
  <c r="I126" i="4031"/>
  <c r="AF126" i="4030"/>
  <c r="AF128" i="4030"/>
  <c r="C160" i="4030"/>
  <c r="AP139" i="4027"/>
  <c r="AP140" i="4027" s="1"/>
  <c r="AP142" i="4027" s="1"/>
  <c r="AP144" i="4027" s="1"/>
  <c r="AE128" i="4026"/>
  <c r="AE126" i="4026"/>
  <c r="P139" i="4023"/>
  <c r="AN126" i="4019"/>
  <c r="AN128" i="4019"/>
  <c r="Y128" i="4021"/>
  <c r="Y126" i="4021"/>
  <c r="W139" i="4023"/>
  <c r="W140" i="4023" s="1"/>
  <c r="W142" i="4023" s="1"/>
  <c r="W144" i="4023" s="1"/>
  <c r="Q145" i="4020"/>
  <c r="Q126" i="4020"/>
  <c r="Q128" i="4020"/>
  <c r="Q131" i="4020"/>
  <c r="Q139" i="4022"/>
  <c r="K139" i="4032"/>
  <c r="AB126" i="4030"/>
  <c r="AB128" i="4030"/>
  <c r="P139" i="4025"/>
  <c r="E130" i="4036"/>
  <c r="E132" i="4036" s="1"/>
  <c r="AL128" i="4033"/>
  <c r="AL126" i="4033"/>
  <c r="S145" i="4033"/>
  <c r="S131" i="4033"/>
  <c r="S126" i="4033"/>
  <c r="S128" i="4033"/>
  <c r="Q145" i="4031"/>
  <c r="Q131" i="4031"/>
  <c r="Q128" i="4031"/>
  <c r="Q126" i="4031"/>
  <c r="AN128" i="4031"/>
  <c r="AN126" i="4031"/>
  <c r="O145" i="4031"/>
  <c r="O126" i="4031"/>
  <c r="O128" i="4031"/>
  <c r="O131" i="4031"/>
  <c r="AC126" i="4030"/>
  <c r="AC128" i="4030"/>
  <c r="AN126" i="4029"/>
  <c r="AN128" i="4029"/>
  <c r="P145" i="4026"/>
  <c r="P126" i="4026"/>
  <c r="P128" i="4026"/>
  <c r="P131" i="4026"/>
  <c r="S145" i="4019"/>
  <c r="S126" i="4019"/>
  <c r="S131" i="4019"/>
  <c r="S128" i="4019"/>
  <c r="C160" i="4020"/>
  <c r="T131" i="4019"/>
  <c r="T126" i="4019"/>
  <c r="T128" i="4019"/>
  <c r="AP128" i="4021"/>
  <c r="AP126" i="4021"/>
  <c r="K140" i="4024"/>
  <c r="AR126" i="4019"/>
  <c r="AR128" i="4019"/>
  <c r="E145" i="4033"/>
  <c r="C84" i="4033"/>
  <c r="C85" i="4033"/>
  <c r="E126" i="4033"/>
  <c r="E128" i="4033"/>
  <c r="E131" i="4033"/>
  <c r="E128" i="4027"/>
  <c r="C84" i="4027"/>
  <c r="E145" i="4027"/>
  <c r="C85" i="4027"/>
  <c r="E126" i="4027"/>
  <c r="E131" i="4027"/>
  <c r="V128" i="4028"/>
  <c r="V131" i="4028"/>
  <c r="V126" i="4028"/>
  <c r="AN128" i="4026"/>
  <c r="AN126" i="4026"/>
  <c r="AQ139" i="4027"/>
  <c r="AQ140" i="4027" s="1"/>
  <c r="S140" i="4026"/>
  <c r="AL126" i="4018"/>
  <c r="AL128" i="4018"/>
  <c r="F139" i="4036"/>
  <c r="J140" i="4031"/>
  <c r="AJ126" i="4026"/>
  <c r="AJ128" i="4026"/>
  <c r="H145" i="4026"/>
  <c r="H131" i="4026"/>
  <c r="H126" i="4026"/>
  <c r="H128" i="4026"/>
  <c r="C151" i="4025"/>
  <c r="AK128" i="4019"/>
  <c r="AK126" i="4019"/>
  <c r="AA128" i="4019"/>
  <c r="AA126" i="4019"/>
  <c r="AL126" i="4019"/>
  <c r="AL128" i="4019"/>
  <c r="M140" i="4022"/>
  <c r="AG139" i="4024"/>
  <c r="AG140" i="4024" s="1"/>
  <c r="AG142" i="4024" s="1"/>
  <c r="AG144" i="4024" s="1"/>
  <c r="AF126" i="4026"/>
  <c r="AF128" i="4026"/>
  <c r="H145" i="4019"/>
  <c r="H126" i="4019"/>
  <c r="H128" i="4019"/>
  <c r="H131" i="4019"/>
  <c r="L145" i="4033"/>
  <c r="L126" i="4033"/>
  <c r="L128" i="4033"/>
  <c r="L131" i="4033"/>
  <c r="M145" i="4027"/>
  <c r="M126" i="4027"/>
  <c r="M131" i="4027"/>
  <c r="M128" i="4027"/>
  <c r="I145" i="4020"/>
  <c r="I126" i="4020"/>
  <c r="I128" i="4020"/>
  <c r="I131" i="4020"/>
  <c r="U139" i="4021"/>
  <c r="U140" i="4021" s="1"/>
  <c r="S139" i="4034"/>
  <c r="AN126" i="4030"/>
  <c r="AN128" i="4030"/>
  <c r="AI139" i="4027"/>
  <c r="AI140" i="4027" s="1"/>
  <c r="AI142" i="4027" s="1"/>
  <c r="AI144" i="4027" s="1"/>
  <c r="S145" i="4028"/>
  <c r="S126" i="4028"/>
  <c r="S128" i="4028"/>
  <c r="S131" i="4028"/>
  <c r="K130" i="4019"/>
  <c r="K132" i="4019" s="1"/>
  <c r="J130" i="4027"/>
  <c r="J132" i="4027" s="1"/>
  <c r="F130" i="4031"/>
  <c r="F132" i="4031" s="1"/>
  <c r="AQ130" i="4033"/>
  <c r="AQ132" i="4033" s="1"/>
  <c r="L130" i="4030"/>
  <c r="L132" i="4030" s="1"/>
  <c r="I130" i="4033"/>
  <c r="I132" i="4033" s="1"/>
  <c r="G140" i="4035"/>
  <c r="AD126" i="4026"/>
  <c r="AD128" i="4026"/>
  <c r="AH130" i="4019"/>
  <c r="AH132" i="4019" s="1"/>
  <c r="AH139" i="4025"/>
  <c r="AH140" i="4025" s="1"/>
  <c r="AL143" i="4024"/>
  <c r="AR143" i="4023"/>
  <c r="AI126" i="4019"/>
  <c r="AI128" i="4019"/>
  <c r="M139" i="4036"/>
  <c r="AM126" i="4033"/>
  <c r="AM128" i="4033"/>
  <c r="AQ126" i="4031"/>
  <c r="AQ128" i="4031"/>
  <c r="R145" i="4031"/>
  <c r="R128" i="4031"/>
  <c r="R131" i="4031"/>
  <c r="R126" i="4031"/>
  <c r="AO126" i="4030"/>
  <c r="AO128" i="4030"/>
  <c r="Q139" i="4032"/>
  <c r="H145" i="4028"/>
  <c r="H131" i="4028"/>
  <c r="H128" i="4028"/>
  <c r="H126" i="4028"/>
  <c r="M145" i="4028"/>
  <c r="M131" i="4028"/>
  <c r="M128" i="4028"/>
  <c r="M126" i="4028"/>
  <c r="AN126" i="4027"/>
  <c r="AN128" i="4027"/>
  <c r="R139" i="4028"/>
  <c r="K145" i="4026"/>
  <c r="K131" i="4026"/>
  <c r="K126" i="4026"/>
  <c r="K128" i="4026"/>
  <c r="V128" i="4026"/>
  <c r="V126" i="4026"/>
  <c r="V131" i="4026"/>
  <c r="AJ130" i="4023"/>
  <c r="AJ132" i="4023" s="1"/>
  <c r="Z139" i="4025"/>
  <c r="Z140" i="4025" s="1"/>
  <c r="Z143" i="4025" s="1"/>
  <c r="AD130" i="4022"/>
  <c r="AD132" i="4022" s="1"/>
  <c r="AH130" i="4020"/>
  <c r="AH132" i="4020" s="1"/>
  <c r="AK126" i="4021"/>
  <c r="AK128" i="4021"/>
  <c r="J145" i="4021"/>
  <c r="J131" i="4021"/>
  <c r="J128" i="4021"/>
  <c r="J126" i="4021"/>
  <c r="AJ126" i="4020"/>
  <c r="AJ128" i="4020"/>
  <c r="L145" i="4019"/>
  <c r="L126" i="4019"/>
  <c r="L128" i="4019"/>
  <c r="L131" i="4019"/>
  <c r="X142" i="4025"/>
  <c r="X144" i="4025" s="1"/>
  <c r="M139" i="4024"/>
  <c r="AL128" i="4021"/>
  <c r="AL126" i="4021"/>
  <c r="AO126" i="4019"/>
  <c r="AO128" i="4019"/>
  <c r="AO143" i="4034"/>
  <c r="AR128" i="4031"/>
  <c r="AR126" i="4031"/>
  <c r="M145" i="4030"/>
  <c r="M131" i="4030"/>
  <c r="M128" i="4030"/>
  <c r="M126" i="4030"/>
  <c r="U126" i="4026"/>
  <c r="U131" i="4026"/>
  <c r="U128" i="4026"/>
  <c r="E130" i="4024"/>
  <c r="E132" i="4024" s="1"/>
  <c r="C151" i="4024"/>
  <c r="Y143" i="4024"/>
  <c r="T130" i="4033"/>
  <c r="T132" i="4033" s="1"/>
  <c r="AB126" i="4033"/>
  <c r="AB128" i="4033"/>
  <c r="Z128" i="4031"/>
  <c r="Z126" i="4031"/>
  <c r="X128" i="4031"/>
  <c r="X126" i="4031"/>
  <c r="X131" i="4031"/>
  <c r="AM139" i="4031"/>
  <c r="AM140" i="4031" s="1"/>
  <c r="AJ126" i="4030"/>
  <c r="AJ128" i="4030"/>
  <c r="AQ128" i="4029"/>
  <c r="AQ126" i="4029"/>
  <c r="P145" i="4029"/>
  <c r="P131" i="4029"/>
  <c r="P126" i="4029"/>
  <c r="P128" i="4029"/>
  <c r="C84" i="4028"/>
  <c r="V130" i="4029"/>
  <c r="V132" i="4029" s="1"/>
  <c r="AD139" i="4027"/>
  <c r="AD140" i="4027" s="1"/>
  <c r="AD142" i="4027" s="1"/>
  <c r="AD144" i="4027" s="1"/>
  <c r="G145" i="4026"/>
  <c r="G126" i="4026"/>
  <c r="G128" i="4026"/>
  <c r="G131" i="4026"/>
  <c r="AD130" i="4025"/>
  <c r="AD132" i="4025" s="1"/>
  <c r="Q130" i="4027"/>
  <c r="Q132" i="4027" s="1"/>
  <c r="AB126" i="4019"/>
  <c r="AB128" i="4019"/>
  <c r="K139" i="4023"/>
  <c r="AO128" i="4020"/>
  <c r="AO126" i="4020"/>
  <c r="AI126" i="4018"/>
  <c r="AI128" i="4018"/>
  <c r="R139" i="4021"/>
  <c r="R139" i="4018"/>
  <c r="O140" i="4033"/>
  <c r="AP128" i="4032"/>
  <c r="AP126" i="4032"/>
  <c r="E130" i="4029"/>
  <c r="E132" i="4029" s="1"/>
  <c r="C85" i="4029"/>
  <c r="Z143" i="4029"/>
  <c r="V126" i="4027"/>
  <c r="V131" i="4027"/>
  <c r="V128" i="4027"/>
  <c r="AJ142" i="4028"/>
  <c r="AJ144" i="4028" s="1"/>
  <c r="N140" i="4028"/>
  <c r="N143" i="4028" s="1"/>
  <c r="AR142" i="4025"/>
  <c r="AR144" i="4025" s="1"/>
  <c r="AN143" i="4024"/>
  <c r="H145" i="4020"/>
  <c r="H128" i="4020"/>
  <c r="H126" i="4020"/>
  <c r="H131" i="4020"/>
  <c r="AM143" i="4021"/>
  <c r="J139" i="4022"/>
  <c r="Q130" i="4035"/>
  <c r="Q132" i="4035" s="1"/>
  <c r="R140" i="4035"/>
  <c r="AH128" i="4030"/>
  <c r="AH126" i="4030"/>
  <c r="G145" i="4030"/>
  <c r="G131" i="4030"/>
  <c r="G128" i="4030"/>
  <c r="G126" i="4030"/>
  <c r="H139" i="4030"/>
  <c r="AJ143" i="4027"/>
  <c r="AC143" i="4024"/>
  <c r="AK128" i="4033"/>
  <c r="AK126" i="4033"/>
  <c r="H145" i="4031"/>
  <c r="H131" i="4031"/>
  <c r="H128" i="4031"/>
  <c r="H126" i="4031"/>
  <c r="N140" i="4031"/>
  <c r="J145" i="4029"/>
  <c r="J131" i="4029"/>
  <c r="J128" i="4029"/>
  <c r="J126" i="4029"/>
  <c r="AR126" i="4030"/>
  <c r="AR128" i="4030"/>
  <c r="AC128" i="4026"/>
  <c r="AC126" i="4026"/>
  <c r="J145" i="4019"/>
  <c r="J131" i="4019"/>
  <c r="J126" i="4019"/>
  <c r="J128" i="4019"/>
  <c r="AH130" i="4018"/>
  <c r="AH132" i="4018" s="1"/>
  <c r="AP130" i="4022"/>
  <c r="AP132" i="4022" s="1"/>
  <c r="V143" i="4019"/>
  <c r="V130" i="4031"/>
  <c r="V132" i="4031" s="1"/>
  <c r="AQ142" i="4028"/>
  <c r="AQ144" i="4028" s="1"/>
  <c r="R132" i="4025"/>
  <c r="C151" i="4022"/>
  <c r="Z139" i="4023"/>
  <c r="Z140" i="4023" s="1"/>
  <c r="AM143" i="4022"/>
  <c r="AO130" i="4018"/>
  <c r="AO132" i="4018" s="1"/>
  <c r="K130" i="4036"/>
  <c r="K132" i="4036" s="1"/>
  <c r="T130" i="4036"/>
  <c r="T132" i="4036" s="1"/>
  <c r="AN139" i="4035"/>
  <c r="AN140" i="4035" s="1"/>
  <c r="AO128" i="4033"/>
  <c r="AO126" i="4033"/>
  <c r="AN126" i="4033"/>
  <c r="AN128" i="4033"/>
  <c r="K145" i="4031"/>
  <c r="K131" i="4031"/>
  <c r="K126" i="4031"/>
  <c r="K128" i="4031"/>
  <c r="AH128" i="4031"/>
  <c r="AH126" i="4031"/>
  <c r="AJ128" i="4031"/>
  <c r="AJ126" i="4031"/>
  <c r="R139" i="4032"/>
  <c r="R145" i="4029"/>
  <c r="R131" i="4029"/>
  <c r="R128" i="4029"/>
  <c r="R126" i="4029"/>
  <c r="Z128" i="4028"/>
  <c r="Z126" i="4028"/>
  <c r="N145" i="4027"/>
  <c r="N126" i="4027"/>
  <c r="N131" i="4027"/>
  <c r="N128" i="4027"/>
  <c r="AE126" i="4027"/>
  <c r="AE128" i="4027"/>
  <c r="AP126" i="4026"/>
  <c r="AP128" i="4026"/>
  <c r="AR143" i="4024"/>
  <c r="AH128" i="4021"/>
  <c r="AH126" i="4021"/>
  <c r="G145" i="4021"/>
  <c r="G131" i="4021"/>
  <c r="G126" i="4021"/>
  <c r="G128" i="4021"/>
  <c r="AA126" i="4020"/>
  <c r="AA128" i="4020"/>
  <c r="AD126" i="4019"/>
  <c r="AD128" i="4019"/>
  <c r="AR128" i="4020"/>
  <c r="AR126" i="4020"/>
  <c r="C160" i="4019"/>
  <c r="T131" i="4018"/>
  <c r="T128" i="4018"/>
  <c r="T126" i="4018"/>
  <c r="W139" i="4021"/>
  <c r="W140" i="4021" s="1"/>
  <c r="W142" i="4021" s="1"/>
  <c r="W144" i="4021" s="1"/>
  <c r="U143" i="4036"/>
  <c r="AK128" i="4030"/>
  <c r="AK126" i="4030"/>
  <c r="J145" i="4030"/>
  <c r="J126" i="4030"/>
  <c r="J131" i="4030"/>
  <c r="J128" i="4030"/>
  <c r="X143" i="4030"/>
  <c r="AM128" i="4026"/>
  <c r="AM126" i="4026"/>
  <c r="U139" i="4023"/>
  <c r="U140" i="4023" s="1"/>
  <c r="U142" i="4023" s="1"/>
  <c r="U144" i="4023" s="1"/>
  <c r="N130" i="4018"/>
  <c r="N132" i="4018" s="1"/>
  <c r="AK142" i="4036"/>
  <c r="AK144" i="4036" s="1"/>
  <c r="AF130" i="4036"/>
  <c r="AF132" i="4036" s="1"/>
  <c r="Z130" i="4035"/>
  <c r="Z132" i="4035" s="1"/>
  <c r="AM130" i="4034"/>
  <c r="AM132" i="4034" s="1"/>
  <c r="X142" i="4034"/>
  <c r="X144" i="4034" s="1"/>
  <c r="AA128" i="4033"/>
  <c r="AA126" i="4033"/>
  <c r="Q139" i="4033"/>
  <c r="AP128" i="4031"/>
  <c r="AP126" i="4031"/>
  <c r="L139" i="4031"/>
  <c r="M145" i="4029"/>
  <c r="M126" i="4029"/>
  <c r="M131" i="4029"/>
  <c r="M128" i="4029"/>
  <c r="AR126" i="4029"/>
  <c r="AR128" i="4029"/>
  <c r="AB126" i="4027"/>
  <c r="AB128" i="4027"/>
  <c r="L140" i="4027"/>
  <c r="L143" i="4027" s="1"/>
  <c r="AA128" i="4026"/>
  <c r="AA126" i="4026"/>
  <c r="K139" i="4028"/>
  <c r="AI126" i="4026"/>
  <c r="AI128" i="4026"/>
  <c r="X143" i="4023"/>
  <c r="I145" i="4019"/>
  <c r="I128" i="4019"/>
  <c r="I131" i="4019"/>
  <c r="I126" i="4019"/>
  <c r="O130" i="4022"/>
  <c r="O132" i="4022" s="1"/>
  <c r="X143" i="4022"/>
  <c r="AF126" i="4020"/>
  <c r="AF128" i="4020"/>
  <c r="E145" i="4020"/>
  <c r="E131" i="4020"/>
  <c r="E126" i="4020"/>
  <c r="E128" i="4020"/>
  <c r="S140" i="4022"/>
  <c r="K139" i="4020"/>
  <c r="AK143" i="4023"/>
  <c r="Q140" i="4023"/>
  <c r="E130" i="4021"/>
  <c r="E132" i="4021" s="1"/>
  <c r="AN143" i="4022"/>
  <c r="AB142" i="4036"/>
  <c r="AB144" i="4036" s="1"/>
  <c r="AA142" i="4036"/>
  <c r="AA144" i="4036" s="1"/>
  <c r="AL143" i="4036"/>
  <c r="AI130" i="4035"/>
  <c r="AI132" i="4035" s="1"/>
  <c r="C160" i="4033"/>
  <c r="AC128" i="4031"/>
  <c r="AC126" i="4031"/>
  <c r="AA126" i="4031"/>
  <c r="AA128" i="4031"/>
  <c r="AL128" i="4026"/>
  <c r="AL126" i="4026"/>
  <c r="AE126" i="4019"/>
  <c r="AE128" i="4019"/>
  <c r="Q140" i="4024"/>
  <c r="AJ130" i="4022"/>
  <c r="AJ132" i="4022" s="1"/>
  <c r="M145" i="4021"/>
  <c r="M131" i="4021"/>
  <c r="M128" i="4021"/>
  <c r="M126" i="4021"/>
  <c r="AI128" i="4020"/>
  <c r="AI126" i="4020"/>
  <c r="AM143" i="4029"/>
  <c r="AK130" i="4020"/>
  <c r="AK132" i="4020" s="1"/>
  <c r="AI143" i="4023"/>
  <c r="Q140" i="4036"/>
  <c r="V142" i="4034"/>
  <c r="V144" i="4034" s="1"/>
  <c r="AI128" i="4031"/>
  <c r="AI126" i="4031"/>
  <c r="H140" i="4033"/>
  <c r="R145" i="4030"/>
  <c r="R131" i="4030"/>
  <c r="R126" i="4030"/>
  <c r="R128" i="4030"/>
  <c r="S145" i="4029"/>
  <c r="S131" i="4029"/>
  <c r="S128" i="4029"/>
  <c r="S126" i="4029"/>
  <c r="W131" i="4020"/>
  <c r="W126" i="4020"/>
  <c r="W128" i="4020"/>
  <c r="N140" i="4022"/>
  <c r="AL142" i="4025"/>
  <c r="AL144" i="4025" s="1"/>
  <c r="AC143" i="4020"/>
  <c r="Z143" i="4036"/>
  <c r="AM142" i="4035"/>
  <c r="AM144" i="4035" s="1"/>
  <c r="AH142" i="4034"/>
  <c r="AH144" i="4034" s="1"/>
  <c r="AL143" i="4032"/>
  <c r="X143" i="4024"/>
  <c r="S140" i="4023"/>
  <c r="AI143" i="4032"/>
  <c r="AF143" i="4029"/>
  <c r="G140" i="4024"/>
  <c r="AF143" i="4031"/>
  <c r="AM143" i="4027"/>
  <c r="AK142" i="4034"/>
  <c r="AK144" i="4034" s="1"/>
  <c r="AI143" i="4033"/>
  <c r="AF143" i="4021"/>
  <c r="G140" i="4036"/>
  <c r="G143" i="4036" s="1"/>
  <c r="AC143" i="4032"/>
  <c r="AO143" i="4031"/>
  <c r="AI143" i="4029"/>
  <c r="P140" i="4024"/>
  <c r="R140" i="4036"/>
  <c r="AN142" i="4034"/>
  <c r="AN144" i="4034" s="1"/>
  <c r="T143" i="4032"/>
  <c r="Z143" i="4032"/>
  <c r="AC142" i="4028"/>
  <c r="AC144" i="4028" s="1"/>
  <c r="AA143" i="4027"/>
  <c r="U143" i="4022"/>
  <c r="AQ142" i="4034"/>
  <c r="AQ144" i="4034" s="1"/>
  <c r="AH143" i="4023"/>
  <c r="L145" i="4026"/>
  <c r="L128" i="4026"/>
  <c r="L126" i="4026"/>
  <c r="L131" i="4026"/>
  <c r="AI139" i="4030"/>
  <c r="AI140" i="4030" s="1"/>
  <c r="AI142" i="4030" s="1"/>
  <c r="AI144" i="4030" s="1"/>
  <c r="AG139" i="4036"/>
  <c r="AG140" i="4036" s="1"/>
  <c r="F139" i="4033"/>
  <c r="P145" i="4031"/>
  <c r="P126" i="4031"/>
  <c r="P131" i="4031"/>
  <c r="P128" i="4031"/>
  <c r="Q139" i="4029"/>
  <c r="F145" i="4026"/>
  <c r="F131" i="4026"/>
  <c r="F128" i="4026"/>
  <c r="F126" i="4026"/>
  <c r="P139" i="4027"/>
  <c r="AB126" i="4021"/>
  <c r="AB128" i="4021"/>
  <c r="J139" i="4026"/>
  <c r="K145" i="4021"/>
  <c r="K128" i="4021"/>
  <c r="K126" i="4021"/>
  <c r="K131" i="4021"/>
  <c r="W139" i="4035"/>
  <c r="W140" i="4035" s="1"/>
  <c r="W142" i="4035" s="1"/>
  <c r="W144" i="4035" s="1"/>
  <c r="AA130" i="4034"/>
  <c r="AA132" i="4034" s="1"/>
  <c r="AB139" i="4034"/>
  <c r="AB140" i="4034" s="1"/>
  <c r="AB143" i="4034" s="1"/>
  <c r="I132" i="4025"/>
  <c r="AM130" i="4023"/>
  <c r="AM132" i="4023" s="1"/>
  <c r="H139" i="4023"/>
  <c r="O139" i="4036"/>
  <c r="N130" i="4035"/>
  <c r="N132" i="4035" s="1"/>
  <c r="X139" i="4035"/>
  <c r="X140" i="4035" s="1"/>
  <c r="G139" i="4034"/>
  <c r="W130" i="4033"/>
  <c r="W132" i="4033" s="1"/>
  <c r="T139" i="4034"/>
  <c r="T140" i="4034" s="1"/>
  <c r="T142" i="4034" s="1"/>
  <c r="T144" i="4034" s="1"/>
  <c r="AG139" i="4033"/>
  <c r="AG140" i="4033" s="1"/>
  <c r="AG142" i="4033" s="1"/>
  <c r="AG144" i="4033" s="1"/>
  <c r="AR126" i="4033"/>
  <c r="AR128" i="4033"/>
  <c r="F145" i="4032"/>
  <c r="F126" i="4032"/>
  <c r="F128" i="4032"/>
  <c r="AA139" i="4032"/>
  <c r="AA140" i="4032" s="1"/>
  <c r="AA142" i="4032" s="1"/>
  <c r="AA144" i="4032" s="1"/>
  <c r="AA126" i="4029"/>
  <c r="AA128" i="4029"/>
  <c r="AI128" i="4028"/>
  <c r="AI126" i="4028"/>
  <c r="W132" i="4027"/>
  <c r="AN128" i="4028"/>
  <c r="AN126" i="4028"/>
  <c r="O139" i="4027"/>
  <c r="AG128" i="4026"/>
  <c r="AG126" i="4026"/>
  <c r="AM130" i="4024"/>
  <c r="AM132" i="4024" s="1"/>
  <c r="Y139" i="4023"/>
  <c r="Y140" i="4023" s="1"/>
  <c r="S145" i="4021"/>
  <c r="S131" i="4021"/>
  <c r="S128" i="4021"/>
  <c r="S126" i="4021"/>
  <c r="AM126" i="4019"/>
  <c r="AM128" i="4019"/>
  <c r="AF139" i="4023"/>
  <c r="AF140" i="4023" s="1"/>
  <c r="AF142" i="4023" s="1"/>
  <c r="AF144" i="4023" s="1"/>
  <c r="Z128" i="4020"/>
  <c r="Z126" i="4020"/>
  <c r="AC126" i="4018"/>
  <c r="AC128" i="4018"/>
  <c r="Z139" i="4022"/>
  <c r="Z140" i="4022" s="1"/>
  <c r="P139" i="4022"/>
  <c r="C84" i="4031"/>
  <c r="AE126" i="4030"/>
  <c r="AE128" i="4030"/>
  <c r="R139" i="4027"/>
  <c r="AA130" i="4025"/>
  <c r="AA132" i="4025" s="1"/>
  <c r="E145" i="4026"/>
  <c r="C85" i="4026"/>
  <c r="C84" i="4026"/>
  <c r="E128" i="4026"/>
  <c r="E131" i="4026"/>
  <c r="E126" i="4026"/>
  <c r="P140" i="4036"/>
  <c r="AD130" i="4034"/>
  <c r="AD132" i="4034" s="1"/>
  <c r="M139" i="4034"/>
  <c r="AJ128" i="4033"/>
  <c r="AJ126" i="4033"/>
  <c r="V139" i="4033"/>
  <c r="V140" i="4033" s="1"/>
  <c r="V142" i="4033" s="1"/>
  <c r="V144" i="4033" s="1"/>
  <c r="K145" i="4030"/>
  <c r="K128" i="4030"/>
  <c r="K126" i="4030"/>
  <c r="K131" i="4030"/>
  <c r="M139" i="4032"/>
  <c r="Y128" i="4029"/>
  <c r="Y126" i="4029"/>
  <c r="AK128" i="4027"/>
  <c r="AK126" i="4027"/>
  <c r="R145" i="4026"/>
  <c r="R128" i="4026"/>
  <c r="R131" i="4026"/>
  <c r="R126" i="4026"/>
  <c r="AO128" i="4026"/>
  <c r="AO126" i="4026"/>
  <c r="R145" i="4019"/>
  <c r="R131" i="4019"/>
  <c r="R128" i="4019"/>
  <c r="R126" i="4019"/>
  <c r="H145" i="4021"/>
  <c r="H128" i="4021"/>
  <c r="H131" i="4021"/>
  <c r="H126" i="4021"/>
  <c r="AC126" i="4019"/>
  <c r="AC128" i="4019"/>
  <c r="AF126" i="4033"/>
  <c r="AF128" i="4033"/>
  <c r="Y126" i="4031"/>
  <c r="Y128" i="4031"/>
  <c r="AJ126" i="4029"/>
  <c r="AJ128" i="4029"/>
  <c r="Q145" i="4028"/>
  <c r="Q131" i="4028"/>
  <c r="Q126" i="4028"/>
  <c r="Q128" i="4028"/>
  <c r="X128" i="4026"/>
  <c r="X126" i="4026"/>
  <c r="X131" i="4026"/>
  <c r="C151" i="4023"/>
  <c r="AR126" i="4026"/>
  <c r="AR128" i="4026"/>
  <c r="U126" i="4019"/>
  <c r="U128" i="4019"/>
  <c r="U131" i="4019"/>
  <c r="T126" i="4021"/>
  <c r="T128" i="4021"/>
  <c r="T131" i="4021"/>
  <c r="K145" i="4018"/>
  <c r="K126" i="4018"/>
  <c r="K128" i="4018"/>
  <c r="K131" i="4018"/>
  <c r="H140" i="4022"/>
  <c r="AQ128" i="4030"/>
  <c r="AQ126" i="4030"/>
  <c r="P145" i="4030"/>
  <c r="P131" i="4030"/>
  <c r="P126" i="4030"/>
  <c r="P128" i="4030"/>
  <c r="F130" i="4024"/>
  <c r="F132" i="4024" s="1"/>
  <c r="Z126" i="4026"/>
  <c r="Z128" i="4026"/>
  <c r="J140" i="4036"/>
  <c r="J143" i="4036" s="1"/>
  <c r="I140" i="4036"/>
  <c r="L140" i="4035"/>
  <c r="AG128" i="4031"/>
  <c r="AG126" i="4031"/>
  <c r="T130" i="4030"/>
  <c r="T132" i="4030" s="1"/>
  <c r="AB128" i="4029"/>
  <c r="AB126" i="4029"/>
  <c r="S145" i="4027"/>
  <c r="S128" i="4027"/>
  <c r="S131" i="4027"/>
  <c r="S126" i="4027"/>
  <c r="I145" i="4026"/>
  <c r="I126" i="4026"/>
  <c r="I128" i="4026"/>
  <c r="I131" i="4026"/>
  <c r="G140" i="4028"/>
  <c r="AR126" i="4018"/>
  <c r="AR128" i="4018"/>
  <c r="L139" i="4024"/>
  <c r="I140" i="4035"/>
  <c r="AP139" i="4030"/>
  <c r="AP140" i="4030" s="1"/>
  <c r="G139" i="4025"/>
  <c r="Z126" i="4019"/>
  <c r="Z128" i="4019"/>
  <c r="AP139" i="4035"/>
  <c r="AP140" i="4035" s="1"/>
  <c r="AP142" i="4035" s="1"/>
  <c r="AP144" i="4035" s="1"/>
  <c r="Y139" i="4034"/>
  <c r="Y140" i="4034" s="1"/>
  <c r="Y142" i="4034" s="1"/>
  <c r="Y144" i="4034" s="1"/>
  <c r="AD128" i="4033"/>
  <c r="AD126" i="4033"/>
  <c r="AL126" i="4031"/>
  <c r="AL128" i="4031"/>
  <c r="X126" i="4032"/>
  <c r="X131" i="4032"/>
  <c r="X128" i="4032"/>
  <c r="E145" i="4030"/>
  <c r="C84" i="4030"/>
  <c r="C85" i="4030"/>
  <c r="E126" i="4030"/>
  <c r="E128" i="4030"/>
  <c r="E131" i="4030"/>
  <c r="U128" i="4030"/>
  <c r="U131" i="4030"/>
  <c r="U126" i="4030"/>
  <c r="H139" i="4029"/>
  <c r="AO128" i="4027"/>
  <c r="AO126" i="4027"/>
  <c r="AE126" i="4028"/>
  <c r="AE128" i="4028"/>
  <c r="I139" i="4028"/>
  <c r="O145" i="4026"/>
  <c r="O131" i="4026"/>
  <c r="O128" i="4026"/>
  <c r="O126" i="4026"/>
  <c r="Q139" i="4025"/>
  <c r="M145" i="4019"/>
  <c r="M131" i="4019"/>
  <c r="M126" i="4019"/>
  <c r="M128" i="4019"/>
  <c r="AQ128" i="4021"/>
  <c r="AQ126" i="4021"/>
  <c r="P145" i="4021"/>
  <c r="P131" i="4021"/>
  <c r="P126" i="4021"/>
  <c r="P128" i="4021"/>
  <c r="O130" i="4025"/>
  <c r="O132" i="4025" s="1"/>
  <c r="AC126" i="4021"/>
  <c r="AC128" i="4021"/>
  <c r="AF126" i="4019"/>
  <c r="AF128" i="4019"/>
  <c r="E145" i="4019"/>
  <c r="E128" i="4019"/>
  <c r="E131" i="4019"/>
  <c r="E126" i="4019"/>
  <c r="L139" i="4021"/>
  <c r="AM139" i="4020"/>
  <c r="AM140" i="4020" s="1"/>
  <c r="AM142" i="4020" s="1"/>
  <c r="AM144" i="4020" s="1"/>
  <c r="AK139" i="4022"/>
  <c r="AK140" i="4022" s="1"/>
  <c r="AJ130" i="4034"/>
  <c r="AJ132" i="4034" s="1"/>
  <c r="S145" i="4030"/>
  <c r="S131" i="4030"/>
  <c r="S126" i="4030"/>
  <c r="S128" i="4030"/>
  <c r="T139" i="4025"/>
  <c r="T140" i="4025" s="1"/>
  <c r="C151" i="4036"/>
  <c r="C86" i="4034"/>
  <c r="C70" i="4034" s="1"/>
  <c r="C151" i="4034"/>
  <c r="K145" i="4033"/>
  <c r="K128" i="4033"/>
  <c r="K131" i="4033"/>
  <c r="K126" i="4033"/>
  <c r="Q139" i="4034"/>
  <c r="C85" i="4032"/>
  <c r="M145" i="4031"/>
  <c r="M131" i="4031"/>
  <c r="M126" i="4031"/>
  <c r="M128" i="4031"/>
  <c r="AA126" i="4030"/>
  <c r="AA128" i="4030"/>
  <c r="AE126" i="4029"/>
  <c r="AE128" i="4029"/>
  <c r="AC130" i="4027"/>
  <c r="AC132" i="4027" s="1"/>
  <c r="AK126" i="4028"/>
  <c r="AK128" i="4028"/>
  <c r="AQ126" i="4026"/>
  <c r="AQ128" i="4026"/>
  <c r="R130" i="4024"/>
  <c r="R132" i="4024" s="1"/>
  <c r="AJ128" i="4019"/>
  <c r="AJ126" i="4019"/>
  <c r="J139" i="4024"/>
  <c r="Z128" i="4021"/>
  <c r="Z126" i="4021"/>
  <c r="Z126" i="4018"/>
  <c r="Z128" i="4018"/>
  <c r="R130" i="4022"/>
  <c r="R132" i="4022" s="1"/>
  <c r="Q145" i="4019"/>
  <c r="Q126" i="4019"/>
  <c r="Q128" i="4019"/>
  <c r="Q131" i="4019"/>
  <c r="AE126" i="4033"/>
  <c r="AE128" i="4033"/>
  <c r="AP139" i="4033"/>
  <c r="AP140" i="4033" s="1"/>
  <c r="W130" i="4030"/>
  <c r="W132" i="4030" s="1"/>
  <c r="AR128" i="4028"/>
  <c r="AR126" i="4028"/>
  <c r="C160" i="4027"/>
  <c r="AP128" i="4028"/>
  <c r="AP126" i="4028"/>
  <c r="AE126" i="4021"/>
  <c r="AE128" i="4021"/>
  <c r="J145" i="4033"/>
  <c r="J131" i="4033"/>
  <c r="J126" i="4033"/>
  <c r="J128" i="4033"/>
  <c r="R145" i="4033"/>
  <c r="R131" i="4033"/>
  <c r="R128" i="4033"/>
  <c r="R126" i="4033"/>
  <c r="AK128" i="4029"/>
  <c r="AK126" i="4029"/>
  <c r="AR126" i="4021"/>
  <c r="AR128" i="4021"/>
  <c r="Q145" i="4018"/>
  <c r="Q131" i="4018"/>
  <c r="Q126" i="4018"/>
  <c r="Q128" i="4018"/>
  <c r="L140" i="4036"/>
  <c r="L143" i="4036" s="1"/>
  <c r="K140" i="4022"/>
  <c r="K143" i="4022" s="1"/>
  <c r="H140" i="4036"/>
  <c r="R9" i="65"/>
  <c r="R10" i="65"/>
  <c r="R23" i="65"/>
  <c r="R19" i="65"/>
  <c r="R20" i="65"/>
  <c r="R26" i="65"/>
  <c r="X142" i="4019" l="1"/>
  <c r="X144" i="4019" s="1"/>
  <c r="X142" i="4028"/>
  <c r="X144" i="4028" s="1"/>
  <c r="T142" i="4026"/>
  <c r="T144" i="4026" s="1"/>
  <c r="K130" i="4027"/>
  <c r="K132" i="4027" s="1"/>
  <c r="K139" i="4027" s="1"/>
  <c r="K140" i="4027" s="1"/>
  <c r="X143" i="4028"/>
  <c r="C151" i="4035"/>
  <c r="C86" i="4035"/>
  <c r="C70" i="4035" s="1"/>
  <c r="W142" i="4028"/>
  <c r="W144" i="4028" s="1"/>
  <c r="U143" i="4027"/>
  <c r="T143" i="4027"/>
  <c r="V142" i="4035"/>
  <c r="V144" i="4035" s="1"/>
  <c r="U143" i="4020"/>
  <c r="P130" i="4018"/>
  <c r="P132" i="4018" s="1"/>
  <c r="P139" i="4018" s="1"/>
  <c r="G130" i="4018"/>
  <c r="G132" i="4018" s="1"/>
  <c r="G139" i="4018" s="1"/>
  <c r="G140" i="4018" s="1"/>
  <c r="M130" i="4020"/>
  <c r="M132" i="4020" s="1"/>
  <c r="M139" i="4020" s="1"/>
  <c r="T139" i="4029"/>
  <c r="T140" i="4029" s="1"/>
  <c r="T142" i="4029" s="1"/>
  <c r="T144" i="4029" s="1"/>
  <c r="AL142" i="4028"/>
  <c r="AL144" i="4028" s="1"/>
  <c r="AA130" i="4035"/>
  <c r="AA132" i="4035" s="1"/>
  <c r="C86" i="4032"/>
  <c r="C70" i="4032" s="1"/>
  <c r="G132" i="4033"/>
  <c r="G139" i="4033" s="1"/>
  <c r="AH143" i="4032"/>
  <c r="AH142" i="4032"/>
  <c r="AH144" i="4032" s="1"/>
  <c r="AB130" i="4030"/>
  <c r="AB132" i="4030" s="1"/>
  <c r="AB139" i="4030" s="1"/>
  <c r="AB140" i="4030" s="1"/>
  <c r="AB143" i="4030" s="1"/>
  <c r="U139" i="4029"/>
  <c r="U140" i="4029" s="1"/>
  <c r="U143" i="4029" s="1"/>
  <c r="AD142" i="4028"/>
  <c r="AD144" i="4028" s="1"/>
  <c r="AB143" i="4035"/>
  <c r="AO142" i="4028"/>
  <c r="AO144" i="4028" s="1"/>
  <c r="AM142" i="4028"/>
  <c r="AM144" i="4028" s="1"/>
  <c r="U143" i="4028"/>
  <c r="AF142" i="4028"/>
  <c r="AF144" i="4028" s="1"/>
  <c r="M130" i="4026"/>
  <c r="T142" i="4020"/>
  <c r="T144" i="4020" s="1"/>
  <c r="AC130" i="4030"/>
  <c r="AC132" i="4030" s="1"/>
  <c r="V143" i="4018"/>
  <c r="S130" i="4020"/>
  <c r="S132" i="4020" s="1"/>
  <c r="AP143" i="4020"/>
  <c r="AP142" i="4020"/>
  <c r="AP144" i="4020" s="1"/>
  <c r="E146" i="4037"/>
  <c r="R147" i="4037"/>
  <c r="S147" i="4037"/>
  <c r="K147" i="4037"/>
  <c r="I147" i="4037"/>
  <c r="G147" i="4037"/>
  <c r="H147" i="4037"/>
  <c r="N147" i="4037"/>
  <c r="F147" i="4037"/>
  <c r="P147" i="4037"/>
  <c r="E147" i="4037"/>
  <c r="L147" i="4037"/>
  <c r="Q147" i="4037"/>
  <c r="O147" i="4037"/>
  <c r="M147" i="4037"/>
  <c r="J147" i="4037"/>
  <c r="U143" i="4032"/>
  <c r="C86" i="4021"/>
  <c r="C70" i="4021" s="1"/>
  <c r="C86" i="4031"/>
  <c r="C70" i="4031" s="1"/>
  <c r="AD130" i="4032"/>
  <c r="AD132" i="4032" s="1"/>
  <c r="AD139" i="4032" s="1"/>
  <c r="AD140" i="4032" s="1"/>
  <c r="AD143" i="4032" s="1"/>
  <c r="S130" i="4035"/>
  <c r="S132" i="4035" s="1"/>
  <c r="S139" i="4035" s="1"/>
  <c r="S140" i="4035" s="1"/>
  <c r="J130" i="4035"/>
  <c r="J132" i="4035" s="1"/>
  <c r="J139" i="4035" s="1"/>
  <c r="J140" i="4035" s="1"/>
  <c r="J143" i="4035" s="1"/>
  <c r="C86" i="4019"/>
  <c r="C70" i="4019" s="1"/>
  <c r="AO130" i="4026"/>
  <c r="AO132" i="4026" s="1"/>
  <c r="AO139" i="4026" s="1"/>
  <c r="AO140" i="4026" s="1"/>
  <c r="AO143" i="4026" s="1"/>
  <c r="AO130" i="4032"/>
  <c r="AO132" i="4032" s="1"/>
  <c r="AL130" i="4030"/>
  <c r="AL132" i="4030" s="1"/>
  <c r="AC130" i="4029"/>
  <c r="AC132" i="4029" s="1"/>
  <c r="AC139" i="4029" s="1"/>
  <c r="AC140" i="4029" s="1"/>
  <c r="AC143" i="4029" s="1"/>
  <c r="AH130" i="4035"/>
  <c r="AH132" i="4035" s="1"/>
  <c r="AH139" i="4035" s="1"/>
  <c r="AH140" i="4035" s="1"/>
  <c r="AH143" i="4035" s="1"/>
  <c r="E130" i="4033"/>
  <c r="AL130" i="4035"/>
  <c r="AL132" i="4035" s="1"/>
  <c r="AL139" i="4035" s="1"/>
  <c r="AL140" i="4035" s="1"/>
  <c r="AL142" i="4035" s="1"/>
  <c r="AL144" i="4035" s="1"/>
  <c r="R130" i="4031"/>
  <c r="R132" i="4031" s="1"/>
  <c r="AH130" i="4030"/>
  <c r="AH132" i="4030" s="1"/>
  <c r="AH139" i="4030" s="1"/>
  <c r="AH140" i="4030" s="1"/>
  <c r="AH143" i="4030" s="1"/>
  <c r="C86" i="4018"/>
  <c r="C70" i="4018" s="1"/>
  <c r="K130" i="4035"/>
  <c r="K132" i="4035" s="1"/>
  <c r="K139" i="4035" s="1"/>
  <c r="K140" i="4035" s="1"/>
  <c r="K143" i="4035" s="1"/>
  <c r="AA130" i="4033"/>
  <c r="AA132" i="4033" s="1"/>
  <c r="AA139" i="4033" s="1"/>
  <c r="AA140" i="4033" s="1"/>
  <c r="AA142" i="4033" s="1"/>
  <c r="AA144" i="4033" s="1"/>
  <c r="M130" i="4033"/>
  <c r="M132" i="4033" s="1"/>
  <c r="M139" i="4033" s="1"/>
  <c r="L130" i="4032"/>
  <c r="L132" i="4032" s="1"/>
  <c r="L139" i="4032" s="1"/>
  <c r="L140" i="4032" s="1"/>
  <c r="L142" i="4032" s="1"/>
  <c r="L144" i="4032" s="1"/>
  <c r="Q130" i="4031"/>
  <c r="Q132" i="4031" s="1"/>
  <c r="Q139" i="4031" s="1"/>
  <c r="C86" i="4020"/>
  <c r="C70" i="4020" s="1"/>
  <c r="T142" i="4035"/>
  <c r="T144" i="4035" s="1"/>
  <c r="Y143" i="4034"/>
  <c r="AK143" i="4026"/>
  <c r="AA143" i="4021"/>
  <c r="AA142" i="4021"/>
  <c r="AA144" i="4021" s="1"/>
  <c r="Z130" i="4020"/>
  <c r="Z132" i="4020" s="1"/>
  <c r="AA143" i="4018"/>
  <c r="AA142" i="4018"/>
  <c r="AA144" i="4018" s="1"/>
  <c r="AG143" i="4018"/>
  <c r="C86" i="4028"/>
  <c r="C70" i="4028" s="1"/>
  <c r="AO142" i="4029"/>
  <c r="AO144" i="4029" s="1"/>
  <c r="AJ130" i="4035"/>
  <c r="AJ132" i="4035" s="1"/>
  <c r="U130" i="4035"/>
  <c r="U132" i="4035" s="1"/>
  <c r="O130" i="4032"/>
  <c r="AP130" i="4031"/>
  <c r="AP132" i="4031" s="1"/>
  <c r="T143" i="4031"/>
  <c r="V142" i="4030"/>
  <c r="V144" i="4030" s="1"/>
  <c r="J130" i="4030"/>
  <c r="J132" i="4030" s="1"/>
  <c r="J139" i="4030" s="1"/>
  <c r="AP130" i="4029"/>
  <c r="AP132" i="4029" s="1"/>
  <c r="AP139" i="4029" s="1"/>
  <c r="AP140" i="4029" s="1"/>
  <c r="AP143" i="4029" s="1"/>
  <c r="AL130" i="4029"/>
  <c r="AL132" i="4029" s="1"/>
  <c r="O130" i="4028"/>
  <c r="O132" i="4028" s="1"/>
  <c r="O139" i="4028" s="1"/>
  <c r="O140" i="4028" s="1"/>
  <c r="Y142" i="4027"/>
  <c r="Y144" i="4027" s="1"/>
  <c r="AE130" i="4026"/>
  <c r="AE132" i="4026" s="1"/>
  <c r="AJ143" i="4024"/>
  <c r="P130" i="4019"/>
  <c r="P132" i="4019" s="1"/>
  <c r="P139" i="4019" s="1"/>
  <c r="P140" i="4019" s="1"/>
  <c r="AG142" i="4018"/>
  <c r="AG144" i="4018" s="1"/>
  <c r="U142" i="4018"/>
  <c r="U144" i="4018" s="1"/>
  <c r="F130" i="4020"/>
  <c r="F132" i="4020" s="1"/>
  <c r="F139" i="4020" s="1"/>
  <c r="F140" i="4020" s="1"/>
  <c r="O130" i="4020"/>
  <c r="O132" i="4020" s="1"/>
  <c r="O139" i="4020" s="1"/>
  <c r="O140" i="4020" s="1"/>
  <c r="AG142" i="4020"/>
  <c r="AG144" i="4020" s="1"/>
  <c r="X143" i="4020"/>
  <c r="Q130" i="4020"/>
  <c r="Q132" i="4020" s="1"/>
  <c r="Q139" i="4020" s="1"/>
  <c r="X142" i="4020"/>
  <c r="X144" i="4020" s="1"/>
  <c r="AG143" i="4023"/>
  <c r="AD130" i="4019"/>
  <c r="AD132" i="4019" s="1"/>
  <c r="AD139" i="4019" s="1"/>
  <c r="AD140" i="4019" s="1"/>
  <c r="AD143" i="4019" s="1"/>
  <c r="T130" i="4019"/>
  <c r="T132" i="4019" s="1"/>
  <c r="T139" i="4019" s="1"/>
  <c r="T140" i="4019" s="1"/>
  <c r="AQ143" i="4020"/>
  <c r="AE142" i="4020"/>
  <c r="AE144" i="4020" s="1"/>
  <c r="AB143" i="4020"/>
  <c r="H130" i="4019"/>
  <c r="H132" i="4019" s="1"/>
  <c r="H139" i="4019" s="1"/>
  <c r="AR130" i="4034"/>
  <c r="AR132" i="4034" s="1"/>
  <c r="AF130" i="4033"/>
  <c r="AF132" i="4033" s="1"/>
  <c r="AF139" i="4033" s="1"/>
  <c r="AF140" i="4033" s="1"/>
  <c r="AF142" i="4033" s="1"/>
  <c r="AF144" i="4033" s="1"/>
  <c r="AR130" i="4033"/>
  <c r="AR132" i="4033" s="1"/>
  <c r="AR139" i="4033" s="1"/>
  <c r="AR140" i="4033" s="1"/>
  <c r="AR142" i="4033" s="1"/>
  <c r="AR144" i="4033" s="1"/>
  <c r="AM130" i="4033"/>
  <c r="AM132" i="4033" s="1"/>
  <c r="AM139" i="4033" s="1"/>
  <c r="AM140" i="4033" s="1"/>
  <c r="Y130" i="4031"/>
  <c r="Y132" i="4031" s="1"/>
  <c r="Y139" i="4031" s="1"/>
  <c r="Y140" i="4031" s="1"/>
  <c r="Y143" i="4031" s="1"/>
  <c r="AJ130" i="4029"/>
  <c r="AJ132" i="4029" s="1"/>
  <c r="S130" i="4028"/>
  <c r="S132" i="4028" s="1"/>
  <c r="S139" i="4028" s="1"/>
  <c r="AN130" i="4027"/>
  <c r="AN132" i="4027" s="1"/>
  <c r="AN139" i="4027" s="1"/>
  <c r="AN140" i="4027" s="1"/>
  <c r="I130" i="4026"/>
  <c r="I132" i="4026" s="1"/>
  <c r="I139" i="4026" s="1"/>
  <c r="AD130" i="4026"/>
  <c r="AD132" i="4026" s="1"/>
  <c r="H130" i="4026"/>
  <c r="H132" i="4026" s="1"/>
  <c r="AC130" i="4035"/>
  <c r="AC132" i="4035" s="1"/>
  <c r="W143" i="4035"/>
  <c r="AL143" i="4035"/>
  <c r="AC130" i="4033"/>
  <c r="AC132" i="4033" s="1"/>
  <c r="AC139" i="4033" s="1"/>
  <c r="AC140" i="4033" s="1"/>
  <c r="AC142" i="4033" s="1"/>
  <c r="AC144" i="4033" s="1"/>
  <c r="L130" i="4033"/>
  <c r="AE130" i="4033"/>
  <c r="AE132" i="4033" s="1"/>
  <c r="AE139" i="4033" s="1"/>
  <c r="AE140" i="4033" s="1"/>
  <c r="AE143" i="4033" s="1"/>
  <c r="AN130" i="4033"/>
  <c r="AN132" i="4033" s="1"/>
  <c r="AN139" i="4033" s="1"/>
  <c r="AN140" i="4033" s="1"/>
  <c r="AN142" i="4033" s="1"/>
  <c r="AN144" i="4033" s="1"/>
  <c r="AR142" i="4032"/>
  <c r="AR144" i="4032" s="1"/>
  <c r="AM130" i="4032"/>
  <c r="AM132" i="4032" s="1"/>
  <c r="X130" i="4032"/>
  <c r="X132" i="4032" s="1"/>
  <c r="X139" i="4032" s="1"/>
  <c r="X140" i="4032" s="1"/>
  <c r="C151" i="4032"/>
  <c r="I130" i="4032"/>
  <c r="I132" i="4032" s="1"/>
  <c r="AL130" i="4031"/>
  <c r="AL132" i="4031" s="1"/>
  <c r="AL139" i="4031" s="1"/>
  <c r="AL140" i="4031" s="1"/>
  <c r="AL143" i="4031" s="1"/>
  <c r="AG130" i="4031"/>
  <c r="AG132" i="4031" s="1"/>
  <c r="AG139" i="4031" s="1"/>
  <c r="AG140" i="4031" s="1"/>
  <c r="H130" i="4031"/>
  <c r="H132" i="4031" s="1"/>
  <c r="H139" i="4031" s="1"/>
  <c r="G130" i="4029"/>
  <c r="G132" i="4029" s="1"/>
  <c r="G139" i="4029" s="1"/>
  <c r="W130" i="4029"/>
  <c r="W132" i="4029" s="1"/>
  <c r="X130" i="4029"/>
  <c r="X132" i="4029" s="1"/>
  <c r="X139" i="4029" s="1"/>
  <c r="X140" i="4029" s="1"/>
  <c r="X142" i="4029" s="1"/>
  <c r="X144" i="4029" s="1"/>
  <c r="AK130" i="4028"/>
  <c r="AK132" i="4028" s="1"/>
  <c r="C86" i="4027"/>
  <c r="C70" i="4027" s="1"/>
  <c r="AP143" i="4027"/>
  <c r="N130" i="4027"/>
  <c r="N132" i="4027" s="1"/>
  <c r="N139" i="4027" s="1"/>
  <c r="Y130" i="4026"/>
  <c r="Y132" i="4026" s="1"/>
  <c r="G130" i="4026"/>
  <c r="G132" i="4026" s="1"/>
  <c r="AQ130" i="4026"/>
  <c r="AQ132" i="4026" s="1"/>
  <c r="AJ130" i="4026"/>
  <c r="AJ132" i="4026" s="1"/>
  <c r="AJ139" i="4026" s="1"/>
  <c r="AJ140" i="4026" s="1"/>
  <c r="AJ143" i="4026" s="1"/>
  <c r="AG130" i="4026"/>
  <c r="AG132" i="4026" s="1"/>
  <c r="AG139" i="4026" s="1"/>
  <c r="AG140" i="4026" s="1"/>
  <c r="AG143" i="4026" s="1"/>
  <c r="AM142" i="4025"/>
  <c r="AM144" i="4025" s="1"/>
  <c r="AA143" i="4023"/>
  <c r="X143" i="4021"/>
  <c r="X142" i="4021"/>
  <c r="X144" i="4021" s="1"/>
  <c r="Y143" i="4020"/>
  <c r="C151" i="4020"/>
  <c r="W130" i="4019"/>
  <c r="W132" i="4019" s="1"/>
  <c r="W139" i="4019" s="1"/>
  <c r="W140" i="4019" s="1"/>
  <c r="W142" i="4019" s="1"/>
  <c r="W144" i="4019" s="1"/>
  <c r="AE130" i="4019"/>
  <c r="AE132" i="4019" s="1"/>
  <c r="AE139" i="4019" s="1"/>
  <c r="AE140" i="4019" s="1"/>
  <c r="AE142" i="4019" s="1"/>
  <c r="AE144" i="4019" s="1"/>
  <c r="AP130" i="4018"/>
  <c r="AP132" i="4018" s="1"/>
  <c r="AP139" i="4018" s="1"/>
  <c r="AP140" i="4018" s="1"/>
  <c r="AP142" i="4018" s="1"/>
  <c r="AP144" i="4018" s="1"/>
  <c r="C151" i="4018"/>
  <c r="AO130" i="4033"/>
  <c r="AO132" i="4033" s="1"/>
  <c r="AO139" i="4033" s="1"/>
  <c r="AO140" i="4033" s="1"/>
  <c r="AO142" i="4033" s="1"/>
  <c r="AO144" i="4033" s="1"/>
  <c r="S130" i="4033"/>
  <c r="S132" i="4033" s="1"/>
  <c r="J130" i="4033"/>
  <c r="J132" i="4033" s="1"/>
  <c r="J139" i="4033" s="1"/>
  <c r="AD130" i="4033"/>
  <c r="AD132" i="4033" s="1"/>
  <c r="AD139" i="4033" s="1"/>
  <c r="AD140" i="4033" s="1"/>
  <c r="AB130" i="4033"/>
  <c r="AB132" i="4033" s="1"/>
  <c r="AB139" i="4033" s="1"/>
  <c r="AB140" i="4033" s="1"/>
  <c r="AB142" i="4033" s="1"/>
  <c r="AB144" i="4033" s="1"/>
  <c r="N130" i="4032"/>
  <c r="N132" i="4032" s="1"/>
  <c r="N139" i="4032" s="1"/>
  <c r="N140" i="4032" s="1"/>
  <c r="N143" i="4032" s="1"/>
  <c r="W143" i="4032"/>
  <c r="AF130" i="4032"/>
  <c r="AF132" i="4032" s="1"/>
  <c r="AK130" i="4032"/>
  <c r="AK132" i="4032" s="1"/>
  <c r="X130" i="4031"/>
  <c r="X132" i="4031" s="1"/>
  <c r="X139" i="4031" s="1"/>
  <c r="X140" i="4031" s="1"/>
  <c r="C151" i="4031"/>
  <c r="O130" i="4031"/>
  <c r="O132" i="4031" s="1"/>
  <c r="AR130" i="4031"/>
  <c r="AR132" i="4031" s="1"/>
  <c r="AR139" i="4031" s="1"/>
  <c r="AR140" i="4031" s="1"/>
  <c r="AR143" i="4031" s="1"/>
  <c r="W143" i="4031"/>
  <c r="M130" i="4031"/>
  <c r="M132" i="4031" s="1"/>
  <c r="M139" i="4031" s="1"/>
  <c r="AF130" i="4030"/>
  <c r="AF132" i="4030" s="1"/>
  <c r="AF139" i="4030" s="1"/>
  <c r="AF140" i="4030" s="1"/>
  <c r="AF142" i="4030" s="1"/>
  <c r="AF144" i="4030" s="1"/>
  <c r="S130" i="4030"/>
  <c r="S132" i="4030" s="1"/>
  <c r="R130" i="4030"/>
  <c r="R132" i="4030" s="1"/>
  <c r="I130" i="4030"/>
  <c r="I132" i="4030" s="1"/>
  <c r="AN130" i="4030"/>
  <c r="AN132" i="4030" s="1"/>
  <c r="AN139" i="4030" s="1"/>
  <c r="AN140" i="4030" s="1"/>
  <c r="AN143" i="4030" s="1"/>
  <c r="C151" i="4030"/>
  <c r="Y130" i="4030"/>
  <c r="Y132" i="4030" s="1"/>
  <c r="Y139" i="4030" s="1"/>
  <c r="Y140" i="4030" s="1"/>
  <c r="Y142" i="4030" s="1"/>
  <c r="Y144" i="4030" s="1"/>
  <c r="AR130" i="4030"/>
  <c r="AR132" i="4030" s="1"/>
  <c r="AR139" i="4030" s="1"/>
  <c r="AR140" i="4030" s="1"/>
  <c r="AR143" i="4030" s="1"/>
  <c r="E130" i="4030"/>
  <c r="E132" i="4030" s="1"/>
  <c r="E139" i="4030" s="1"/>
  <c r="AE130" i="4029"/>
  <c r="AE132" i="4029" s="1"/>
  <c r="AE139" i="4029" s="1"/>
  <c r="AE140" i="4029" s="1"/>
  <c r="AE143" i="4029" s="1"/>
  <c r="AA130" i="4029"/>
  <c r="AA132" i="4029" s="1"/>
  <c r="AA139" i="4029" s="1"/>
  <c r="AA140" i="4029" s="1"/>
  <c r="S130" i="4029"/>
  <c r="S132" i="4029" s="1"/>
  <c r="S139" i="4029" s="1"/>
  <c r="J130" i="4029"/>
  <c r="J132" i="4029" s="1"/>
  <c r="J139" i="4029" s="1"/>
  <c r="AG130" i="4029"/>
  <c r="AG132" i="4029" s="1"/>
  <c r="AR130" i="4029"/>
  <c r="AR132" i="4029" s="1"/>
  <c r="AR139" i="4029" s="1"/>
  <c r="AR140" i="4029" s="1"/>
  <c r="AR143" i="4029" s="1"/>
  <c r="C86" i="4029"/>
  <c r="C70" i="4029" s="1"/>
  <c r="AB130" i="4029"/>
  <c r="AB132" i="4029" s="1"/>
  <c r="C151" i="4029"/>
  <c r="AH130" i="4029"/>
  <c r="AH132" i="4029" s="1"/>
  <c r="AH139" i="4029" s="1"/>
  <c r="AH140" i="4029" s="1"/>
  <c r="AH143" i="4029" s="1"/>
  <c r="Q130" i="4028"/>
  <c r="Q132" i="4028" s="1"/>
  <c r="C151" i="4028"/>
  <c r="AH142" i="4028"/>
  <c r="AH144" i="4028" s="1"/>
  <c r="F130" i="4028"/>
  <c r="F132" i="4028" s="1"/>
  <c r="F139" i="4028" s="1"/>
  <c r="F140" i="4028" s="1"/>
  <c r="V130" i="4028"/>
  <c r="V132" i="4028" s="1"/>
  <c r="V139" i="4028" s="1"/>
  <c r="V140" i="4028" s="1"/>
  <c r="AH143" i="4028"/>
  <c r="S130" i="4027"/>
  <c r="AE130" i="4027"/>
  <c r="AE132" i="4027" s="1"/>
  <c r="AE139" i="4027" s="1"/>
  <c r="AE140" i="4027" s="1"/>
  <c r="AK130" i="4027"/>
  <c r="AK132" i="4027" s="1"/>
  <c r="AK139" i="4027" s="1"/>
  <c r="AK140" i="4027" s="1"/>
  <c r="AK142" i="4027" s="1"/>
  <c r="AK144" i="4027" s="1"/>
  <c r="K130" i="4026"/>
  <c r="K132" i="4026" s="1"/>
  <c r="AF130" i="4026"/>
  <c r="AF132" i="4026" s="1"/>
  <c r="R130" i="4026"/>
  <c r="R132" i="4026" s="1"/>
  <c r="E130" i="4026"/>
  <c r="P130" i="4026"/>
  <c r="AH130" i="4026"/>
  <c r="AH132" i="4026" s="1"/>
  <c r="AJ142" i="4025"/>
  <c r="AJ144" i="4025" s="1"/>
  <c r="AA142" i="4024"/>
  <c r="AA144" i="4024" s="1"/>
  <c r="AD143" i="4023"/>
  <c r="U143" i="4023"/>
  <c r="AG143" i="4022"/>
  <c r="AD130" i="4021"/>
  <c r="AD132" i="4021" s="1"/>
  <c r="AD139" i="4021" s="1"/>
  <c r="AD140" i="4021" s="1"/>
  <c r="AD142" i="4021" s="1"/>
  <c r="AD144" i="4021" s="1"/>
  <c r="P130" i="4021"/>
  <c r="P132" i="4021" s="1"/>
  <c r="C151" i="4021"/>
  <c r="AP130" i="4021"/>
  <c r="AP132" i="4021" s="1"/>
  <c r="AP139" i="4021" s="1"/>
  <c r="AP140" i="4021" s="1"/>
  <c r="AH130" i="4021"/>
  <c r="AH132" i="4021" s="1"/>
  <c r="AH139" i="4021" s="1"/>
  <c r="AH140" i="4021" s="1"/>
  <c r="AH143" i="4021" s="1"/>
  <c r="W143" i="4021"/>
  <c r="AK130" i="4021"/>
  <c r="AK132" i="4021" s="1"/>
  <c r="AK139" i="4021" s="1"/>
  <c r="AK140" i="4021" s="1"/>
  <c r="AK143" i="4021" s="1"/>
  <c r="T130" i="4021"/>
  <c r="T132" i="4021" s="1"/>
  <c r="K130" i="4021"/>
  <c r="K132" i="4021" s="1"/>
  <c r="K139" i="4021" s="1"/>
  <c r="G130" i="4021"/>
  <c r="G132" i="4021" s="1"/>
  <c r="G139" i="4021" s="1"/>
  <c r="AC130" i="4021"/>
  <c r="AC132" i="4021" s="1"/>
  <c r="AC139" i="4021" s="1"/>
  <c r="AC140" i="4021" s="1"/>
  <c r="AC142" i="4021" s="1"/>
  <c r="AC144" i="4021" s="1"/>
  <c r="AJ130" i="4020"/>
  <c r="AJ132" i="4020" s="1"/>
  <c r="AJ139" i="4020" s="1"/>
  <c r="AJ140" i="4020" s="1"/>
  <c r="AJ143" i="4020" s="1"/>
  <c r="AN143" i="4020"/>
  <c r="I130" i="4020"/>
  <c r="I132" i="4020" s="1"/>
  <c r="AQ143" i="4018"/>
  <c r="AK143" i="4018"/>
  <c r="Q130" i="4018"/>
  <c r="Q132" i="4018" s="1"/>
  <c r="Q139" i="4018" s="1"/>
  <c r="Z130" i="4018"/>
  <c r="Z132" i="4018" s="1"/>
  <c r="Z139" i="4018" s="1"/>
  <c r="Z140" i="4018" s="1"/>
  <c r="AB142" i="4018"/>
  <c r="AB144" i="4018" s="1"/>
  <c r="Y142" i="4018"/>
  <c r="Y144" i="4018" s="1"/>
  <c r="F130" i="4018"/>
  <c r="F132" i="4018" s="1"/>
  <c r="F139" i="4018" s="1"/>
  <c r="F140" i="4018" s="1"/>
  <c r="AJ139" i="4018"/>
  <c r="AJ140" i="4018" s="1"/>
  <c r="AJ143" i="4018" s="1"/>
  <c r="AE143" i="4018"/>
  <c r="AD130" i="4018"/>
  <c r="AD132" i="4018" s="1"/>
  <c r="AC130" i="4018"/>
  <c r="AC132" i="4018" s="1"/>
  <c r="AC139" i="4018" s="1"/>
  <c r="AC140" i="4018" s="1"/>
  <c r="AC142" i="4018" s="1"/>
  <c r="AC144" i="4018" s="1"/>
  <c r="X142" i="4018"/>
  <c r="X144" i="4018" s="1"/>
  <c r="J130" i="4019"/>
  <c r="J132" i="4019" s="1"/>
  <c r="AF130" i="4019"/>
  <c r="AF132" i="4019" s="1"/>
  <c r="AF139" i="4019" s="1"/>
  <c r="AF140" i="4019" s="1"/>
  <c r="AB130" i="4019"/>
  <c r="AB132" i="4019" s="1"/>
  <c r="AB139" i="4019" s="1"/>
  <c r="AB140" i="4019" s="1"/>
  <c r="Z130" i="4019"/>
  <c r="Z132" i="4019" s="1"/>
  <c r="Z139" i="4019" s="1"/>
  <c r="Z140" i="4019" s="1"/>
  <c r="U130" i="4019"/>
  <c r="U132" i="4019" s="1"/>
  <c r="E130" i="4019"/>
  <c r="E132" i="4019" s="1"/>
  <c r="M130" i="4019"/>
  <c r="M132" i="4019" s="1"/>
  <c r="M139" i="4019" s="1"/>
  <c r="AO130" i="4019"/>
  <c r="AO132" i="4019" s="1"/>
  <c r="AO139" i="4019" s="1"/>
  <c r="AO140" i="4019" s="1"/>
  <c r="AO142" i="4019" s="1"/>
  <c r="AO144" i="4019" s="1"/>
  <c r="AN130" i="4019"/>
  <c r="AN132" i="4019" s="1"/>
  <c r="AN139" i="4019" s="1"/>
  <c r="AN140" i="4019" s="1"/>
  <c r="AN143" i="4019" s="1"/>
  <c r="AC130" i="4019"/>
  <c r="AC132" i="4019" s="1"/>
  <c r="AC139" i="4019" s="1"/>
  <c r="AC140" i="4019" s="1"/>
  <c r="AC142" i="4019" s="1"/>
  <c r="AC144" i="4019" s="1"/>
  <c r="AM130" i="4019"/>
  <c r="AM132" i="4019" s="1"/>
  <c r="AM139" i="4019" s="1"/>
  <c r="AM140" i="4019" s="1"/>
  <c r="Y143" i="4019"/>
  <c r="Q130" i="4019"/>
  <c r="Q132" i="4019" s="1"/>
  <c r="Q139" i="4019" s="1"/>
  <c r="L130" i="4019"/>
  <c r="L132" i="4019" s="1"/>
  <c r="L139" i="4019" s="1"/>
  <c r="N130" i="4019"/>
  <c r="N132" i="4019" s="1"/>
  <c r="N139" i="4019" s="1"/>
  <c r="AR130" i="4019"/>
  <c r="AR132" i="4019" s="1"/>
  <c r="AR139" i="4019" s="1"/>
  <c r="AR140" i="4019" s="1"/>
  <c r="AJ130" i="4019"/>
  <c r="AJ132" i="4019" s="1"/>
  <c r="AJ139" i="4019" s="1"/>
  <c r="AJ140" i="4019" s="1"/>
  <c r="AJ142" i="4019" s="1"/>
  <c r="AJ144" i="4019" s="1"/>
  <c r="C86" i="4033"/>
  <c r="C70" i="4033" s="1"/>
  <c r="O132" i="4032"/>
  <c r="AK139" i="4025"/>
  <c r="AK140" i="4025" s="1"/>
  <c r="AK143" i="4025" s="1"/>
  <c r="AP142" i="4033"/>
  <c r="AP144" i="4033" s="1"/>
  <c r="AP143" i="4033"/>
  <c r="T143" i="4025"/>
  <c r="T142" i="4025"/>
  <c r="T144" i="4025" s="1"/>
  <c r="AK142" i="4022"/>
  <c r="AK144" i="4022" s="1"/>
  <c r="AK143" i="4022"/>
  <c r="W142" i="4018"/>
  <c r="W144" i="4018" s="1"/>
  <c r="W143" i="4018"/>
  <c r="AP142" i="4030"/>
  <c r="AP144" i="4030" s="1"/>
  <c r="AP143" i="4030"/>
  <c r="Y142" i="4033"/>
  <c r="Y144" i="4033" s="1"/>
  <c r="Y143" i="4033"/>
  <c r="Z142" i="4022"/>
  <c r="Z144" i="4022" s="1"/>
  <c r="Z143" i="4022"/>
  <c r="X143" i="4035"/>
  <c r="X142" i="4035"/>
  <c r="X144" i="4035" s="1"/>
  <c r="AF142" i="4018"/>
  <c r="AF144" i="4018" s="1"/>
  <c r="AF143" i="4018"/>
  <c r="AR142" i="4027"/>
  <c r="AR144" i="4027" s="1"/>
  <c r="AR143" i="4027"/>
  <c r="AO142" i="4036"/>
  <c r="AO144" i="4036" s="1"/>
  <c r="AO143" i="4036"/>
  <c r="AG142" i="4036"/>
  <c r="AG144" i="4036" s="1"/>
  <c r="AG143" i="4036"/>
  <c r="AN143" i="4035"/>
  <c r="AN142" i="4035"/>
  <c r="AN144" i="4035" s="1"/>
  <c r="AM142" i="4031"/>
  <c r="AM144" i="4031" s="1"/>
  <c r="AM143" i="4031"/>
  <c r="AH143" i="4025"/>
  <c r="AH142" i="4025"/>
  <c r="AH144" i="4025" s="1"/>
  <c r="U142" i="4021"/>
  <c r="U144" i="4021" s="1"/>
  <c r="U143" i="4021"/>
  <c r="W143" i="4036"/>
  <c r="W142" i="4036"/>
  <c r="W144" i="4036" s="1"/>
  <c r="AL142" i="4027"/>
  <c r="AL144" i="4027" s="1"/>
  <c r="AL143" i="4027"/>
  <c r="AQ142" i="4027"/>
  <c r="AQ144" i="4027" s="1"/>
  <c r="AQ143" i="4027"/>
  <c r="AP142" i="4019"/>
  <c r="AP144" i="4019" s="1"/>
  <c r="AP143" i="4019"/>
  <c r="AC143" i="4025"/>
  <c r="AC142" i="4025"/>
  <c r="AC144" i="4025" s="1"/>
  <c r="AG142" i="4030"/>
  <c r="AG144" i="4030" s="1"/>
  <c r="AG143" i="4030"/>
  <c r="Y142" i="4023"/>
  <c r="Y144" i="4023" s="1"/>
  <c r="Y143" i="4023"/>
  <c r="Z142" i="4023"/>
  <c r="Z144" i="4023" s="1"/>
  <c r="Z143" i="4023"/>
  <c r="C86" i="4026"/>
  <c r="C70" i="4026" s="1"/>
  <c r="J140" i="4024"/>
  <c r="O139" i="4025"/>
  <c r="Q140" i="4025"/>
  <c r="G143" i="4028"/>
  <c r="G142" i="4028"/>
  <c r="G144" i="4028" s="1"/>
  <c r="L143" i="4035"/>
  <c r="L142" i="4035"/>
  <c r="L144" i="4035" s="1"/>
  <c r="N139" i="4036"/>
  <c r="E139" i="4031"/>
  <c r="G140" i="4034"/>
  <c r="O140" i="4036"/>
  <c r="I139" i="4025"/>
  <c r="H142" i="4036"/>
  <c r="H144" i="4036" s="1"/>
  <c r="H143" i="4036"/>
  <c r="AR130" i="4021"/>
  <c r="AR132" i="4021" s="1"/>
  <c r="R130" i="4033"/>
  <c r="R132" i="4033" s="1"/>
  <c r="AE130" i="4021"/>
  <c r="AE132" i="4021" s="1"/>
  <c r="AR130" i="4028"/>
  <c r="AR132" i="4028" s="1"/>
  <c r="R139" i="4022"/>
  <c r="Z130" i="4021"/>
  <c r="Z132" i="4021" s="1"/>
  <c r="P143" i="4028"/>
  <c r="P142" i="4028"/>
  <c r="P144" i="4028" s="1"/>
  <c r="AA130" i="4030"/>
  <c r="AA132" i="4030" s="1"/>
  <c r="Q140" i="4034"/>
  <c r="K130" i="4033"/>
  <c r="K132" i="4033" s="1"/>
  <c r="AH143" i="4033"/>
  <c r="AJ139" i="4034"/>
  <c r="AJ140" i="4034" s="1"/>
  <c r="AJ142" i="4034" s="1"/>
  <c r="AJ144" i="4034" s="1"/>
  <c r="AM143" i="4020"/>
  <c r="C151" i="4019"/>
  <c r="I139" i="4022"/>
  <c r="I140" i="4028"/>
  <c r="AE130" i="4028"/>
  <c r="AE132" i="4028" s="1"/>
  <c r="U130" i="4030"/>
  <c r="U132" i="4030" s="1"/>
  <c r="C86" i="4030"/>
  <c r="C70" i="4030" s="1"/>
  <c r="AG143" i="4034"/>
  <c r="AP143" i="4035"/>
  <c r="AR130" i="4018"/>
  <c r="AR132" i="4018" s="1"/>
  <c r="O140" i="4023"/>
  <c r="Z130" i="4026"/>
  <c r="Z132" i="4026" s="1"/>
  <c r="P130" i="4030"/>
  <c r="P132" i="4030" s="1"/>
  <c r="AQ130" i="4030"/>
  <c r="AQ132" i="4030" s="1"/>
  <c r="H142" i="4022"/>
  <c r="H144" i="4022" s="1"/>
  <c r="H143" i="4022"/>
  <c r="K130" i="4018"/>
  <c r="K132" i="4018" s="1"/>
  <c r="AR130" i="4026"/>
  <c r="AR132" i="4026" s="1"/>
  <c r="H130" i="4021"/>
  <c r="H132" i="4021" s="1"/>
  <c r="E140" i="4028"/>
  <c r="M140" i="4032"/>
  <c r="V143" i="4033"/>
  <c r="AD139" i="4034"/>
  <c r="AD140" i="4034" s="1"/>
  <c r="AD143" i="4034" s="1"/>
  <c r="C151" i="4026"/>
  <c r="AE130" i="4030"/>
  <c r="AE132" i="4030" s="1"/>
  <c r="P140" i="4022"/>
  <c r="AF143" i="4023"/>
  <c r="S130" i="4021"/>
  <c r="S132" i="4021" s="1"/>
  <c r="O140" i="4027"/>
  <c r="W139" i="4027"/>
  <c r="W140" i="4027" s="1"/>
  <c r="AA143" i="4032"/>
  <c r="AG143" i="4033"/>
  <c r="T143" i="4034"/>
  <c r="N139" i="4035"/>
  <c r="AB142" i="4034"/>
  <c r="AB144" i="4034" s="1"/>
  <c r="AA139" i="4034"/>
  <c r="AA140" i="4034" s="1"/>
  <c r="AA143" i="4034" s="1"/>
  <c r="AB130" i="4021"/>
  <c r="AB132" i="4021" s="1"/>
  <c r="F140" i="4033"/>
  <c r="AI143" i="4030"/>
  <c r="P140" i="4020"/>
  <c r="S143" i="4023"/>
  <c r="S142" i="4023"/>
  <c r="S144" i="4023" s="1"/>
  <c r="W130" i="4020"/>
  <c r="W132" i="4020" s="1"/>
  <c r="AI130" i="4031"/>
  <c r="AI132" i="4031" s="1"/>
  <c r="Q143" i="4036"/>
  <c r="Q142" i="4036"/>
  <c r="Q144" i="4036" s="1"/>
  <c r="AK139" i="4020"/>
  <c r="AK140" i="4020" s="1"/>
  <c r="AK142" i="4020" s="1"/>
  <c r="AK144" i="4020" s="1"/>
  <c r="N140" i="4021"/>
  <c r="M130" i="4021"/>
  <c r="M132" i="4021" s="1"/>
  <c r="Q143" i="4024"/>
  <c r="Q142" i="4024"/>
  <c r="Q144" i="4024" s="1"/>
  <c r="AL130" i="4026"/>
  <c r="AL132" i="4026" s="1"/>
  <c r="AA130" i="4031"/>
  <c r="AA132" i="4031" s="1"/>
  <c r="AI139" i="4035"/>
  <c r="AI140" i="4035" s="1"/>
  <c r="AI142" i="4035" s="1"/>
  <c r="AI144" i="4035" s="1"/>
  <c r="Q143" i="4023"/>
  <c r="Q142" i="4023"/>
  <c r="Q144" i="4023" s="1"/>
  <c r="S143" i="4022"/>
  <c r="S142" i="4022"/>
  <c r="S144" i="4022" s="1"/>
  <c r="E130" i="4020"/>
  <c r="E132" i="4020" s="1"/>
  <c r="AF130" i="4020"/>
  <c r="AF132" i="4020" s="1"/>
  <c r="I130" i="4019"/>
  <c r="I132" i="4019" s="1"/>
  <c r="AI130" i="4026"/>
  <c r="AI132" i="4026" s="1"/>
  <c r="K140" i="4028"/>
  <c r="AB130" i="4027"/>
  <c r="AB132" i="4027" s="1"/>
  <c r="M130" i="4029"/>
  <c r="M132" i="4029" s="1"/>
  <c r="S140" i="4031"/>
  <c r="Q140" i="4033"/>
  <c r="Z139" i="4035"/>
  <c r="Z140" i="4035" s="1"/>
  <c r="Z143" i="4035" s="1"/>
  <c r="AM130" i="4026"/>
  <c r="AM132" i="4026" s="1"/>
  <c r="AA130" i="4020"/>
  <c r="AA132" i="4020" s="1"/>
  <c r="AP130" i="4026"/>
  <c r="AP132" i="4026" s="1"/>
  <c r="F140" i="4027"/>
  <c r="R130" i="4029"/>
  <c r="R132" i="4029" s="1"/>
  <c r="H140" i="4032"/>
  <c r="AH130" i="4031"/>
  <c r="AH132" i="4031" s="1"/>
  <c r="K130" i="4031"/>
  <c r="K132" i="4031" s="1"/>
  <c r="AN139" i="4018"/>
  <c r="AN140" i="4018" s="1"/>
  <c r="AN142" i="4018" s="1"/>
  <c r="AN144" i="4018" s="1"/>
  <c r="R139" i="4025"/>
  <c r="V143" i="4021"/>
  <c r="N143" i="4031"/>
  <c r="N142" i="4031"/>
  <c r="N144" i="4031" s="1"/>
  <c r="AK130" i="4033"/>
  <c r="AK132" i="4033" s="1"/>
  <c r="H140" i="4030"/>
  <c r="R142" i="4035"/>
  <c r="R144" i="4035" s="1"/>
  <c r="R143" i="4035"/>
  <c r="V130" i="4027"/>
  <c r="V132" i="4027" s="1"/>
  <c r="E139" i="4029"/>
  <c r="AP130" i="4032"/>
  <c r="AP132" i="4032" s="1"/>
  <c r="AI130" i="4018"/>
  <c r="AI132" i="4018" s="1"/>
  <c r="Q139" i="4027"/>
  <c r="AD143" i="4027"/>
  <c r="V139" i="4029"/>
  <c r="V140" i="4029" s="1"/>
  <c r="V143" i="4029" s="1"/>
  <c r="P130" i="4029"/>
  <c r="P132" i="4029" s="1"/>
  <c r="AQ130" i="4029"/>
  <c r="AQ132" i="4029" s="1"/>
  <c r="AJ130" i="4030"/>
  <c r="AJ132" i="4030" s="1"/>
  <c r="E139" i="4024"/>
  <c r="U130" i="4026"/>
  <c r="U132" i="4026" s="1"/>
  <c r="AL130" i="4021"/>
  <c r="AL132" i="4021" s="1"/>
  <c r="J130" i="4021"/>
  <c r="J132" i="4021" s="1"/>
  <c r="AH139" i="4020"/>
  <c r="AH140" i="4020" s="1"/>
  <c r="AH142" i="4020" s="1"/>
  <c r="AH144" i="4020" s="1"/>
  <c r="Z142" i="4025"/>
  <c r="Z144" i="4025" s="1"/>
  <c r="M130" i="4028"/>
  <c r="M132" i="4028" s="1"/>
  <c r="AO130" i="4030"/>
  <c r="AO132" i="4030" s="1"/>
  <c r="AQ130" i="4031"/>
  <c r="AQ132" i="4031" s="1"/>
  <c r="AI130" i="4019"/>
  <c r="AI132" i="4019" s="1"/>
  <c r="AH139" i="4019"/>
  <c r="AH140" i="4019" s="1"/>
  <c r="AH143" i="4019" s="1"/>
  <c r="I139" i="4033"/>
  <c r="F139" i="4031"/>
  <c r="AI143" i="4027"/>
  <c r="M130" i="4027"/>
  <c r="M132" i="4027" s="1"/>
  <c r="AG143" i="4024"/>
  <c r="O140" i="4030"/>
  <c r="M142" i="4022"/>
  <c r="M144" i="4022" s="1"/>
  <c r="M143" i="4022"/>
  <c r="AL130" i="4019"/>
  <c r="AL132" i="4019" s="1"/>
  <c r="AK130" i="4019"/>
  <c r="AK132" i="4019" s="1"/>
  <c r="AC143" i="4036"/>
  <c r="F140" i="4036"/>
  <c r="AL130" i="4018"/>
  <c r="AL132" i="4018" s="1"/>
  <c r="AD143" i="4024"/>
  <c r="AN130" i="4026"/>
  <c r="AN132" i="4026" s="1"/>
  <c r="E130" i="4027"/>
  <c r="E132" i="4027" s="1"/>
  <c r="I142" i="4018"/>
  <c r="I144" i="4018" s="1"/>
  <c r="I143" i="4018"/>
  <c r="S130" i="4019"/>
  <c r="S132" i="4019" s="1"/>
  <c r="AN130" i="4029"/>
  <c r="AN132" i="4029" s="1"/>
  <c r="AN130" i="4031"/>
  <c r="AN132" i="4031" s="1"/>
  <c r="E140" i="4034"/>
  <c r="AF143" i="4035"/>
  <c r="E139" i="4036"/>
  <c r="W143" i="4023"/>
  <c r="I130" i="4031"/>
  <c r="I132" i="4031" s="1"/>
  <c r="G130" i="4031"/>
  <c r="G132" i="4031" s="1"/>
  <c r="X143" i="4033"/>
  <c r="AO142" i="4035"/>
  <c r="AO144" i="4035" s="1"/>
  <c r="O140" i="4024"/>
  <c r="Q140" i="4030"/>
  <c r="J140" i="4034"/>
  <c r="F140" i="4025"/>
  <c r="M140" i="4018"/>
  <c r="Q130" i="4021"/>
  <c r="Q132" i="4021" s="1"/>
  <c r="I140" i="4024"/>
  <c r="AB130" i="4028"/>
  <c r="AB132" i="4028" s="1"/>
  <c r="M143" i="4025"/>
  <c r="M142" i="4025"/>
  <c r="M144" i="4025" s="1"/>
  <c r="H143" i="4025"/>
  <c r="H142" i="4025"/>
  <c r="H144" i="4025" s="1"/>
  <c r="W143" i="4026"/>
  <c r="AF130" i="4027"/>
  <c r="AF132" i="4027" s="1"/>
  <c r="H130" i="4018"/>
  <c r="H132" i="4018" s="1"/>
  <c r="S140" i="4024"/>
  <c r="AA143" i="4022"/>
  <c r="M140" i="4023"/>
  <c r="N140" i="4025"/>
  <c r="T142" i="4028"/>
  <c r="T144" i="4028" s="1"/>
  <c r="AG143" i="4025"/>
  <c r="AD130" i="4030"/>
  <c r="AD132" i="4030" s="1"/>
  <c r="N130" i="4030"/>
  <c r="N132" i="4030" s="1"/>
  <c r="AG130" i="4032"/>
  <c r="AG132" i="4032" s="1"/>
  <c r="J140" i="4028"/>
  <c r="Z142" i="4027"/>
  <c r="Z144" i="4027" s="1"/>
  <c r="J142" i="4032"/>
  <c r="J144" i="4032" s="1"/>
  <c r="L142" i="4027"/>
  <c r="L144" i="4027" s="1"/>
  <c r="J142" i="4036"/>
  <c r="J144" i="4036" s="1"/>
  <c r="L140" i="4025"/>
  <c r="G142" i="4036"/>
  <c r="G144" i="4036" s="1"/>
  <c r="H142" i="4034"/>
  <c r="H144" i="4034" s="1"/>
  <c r="L143" i="4028"/>
  <c r="L142" i="4028"/>
  <c r="L144" i="4028" s="1"/>
  <c r="F139" i="4022"/>
  <c r="S142" i="4032"/>
  <c r="S144" i="4032" s="1"/>
  <c r="S143" i="4032"/>
  <c r="E140" i="4025"/>
  <c r="AK130" i="4029"/>
  <c r="AK132" i="4029" s="1"/>
  <c r="AP130" i="4028"/>
  <c r="AP132" i="4028" s="1"/>
  <c r="R139" i="4024"/>
  <c r="AK139" i="4028"/>
  <c r="AK140" i="4028" s="1"/>
  <c r="P142" i="4035"/>
  <c r="P144" i="4035" s="1"/>
  <c r="P143" i="4035"/>
  <c r="L140" i="4021"/>
  <c r="AQ130" i="4021"/>
  <c r="AQ132" i="4021" s="1"/>
  <c r="O130" i="4026"/>
  <c r="O132" i="4026" s="1"/>
  <c r="AO130" i="4027"/>
  <c r="AO132" i="4027" s="1"/>
  <c r="G140" i="4025"/>
  <c r="I143" i="4035"/>
  <c r="I142" i="4035"/>
  <c r="I144" i="4035" s="1"/>
  <c r="L140" i="4024"/>
  <c r="S132" i="4027"/>
  <c r="T139" i="4030"/>
  <c r="T140" i="4030" s="1"/>
  <c r="T143" i="4030" s="1"/>
  <c r="L139" i="4034"/>
  <c r="F139" i="4024"/>
  <c r="X130" i="4026"/>
  <c r="X132" i="4026" s="1"/>
  <c r="R130" i="4019"/>
  <c r="R132" i="4019" s="1"/>
  <c r="F140" i="4029"/>
  <c r="Y130" i="4029"/>
  <c r="Y132" i="4029" s="1"/>
  <c r="K130" i="4030"/>
  <c r="K132" i="4030" s="1"/>
  <c r="AJ130" i="4033"/>
  <c r="AJ132" i="4033" s="1"/>
  <c r="E139" i="4035"/>
  <c r="E132" i="4026"/>
  <c r="AA139" i="4025"/>
  <c r="AA140" i="4025" s="1"/>
  <c r="AA142" i="4025" s="1"/>
  <c r="AA144" i="4025" s="1"/>
  <c r="R140" i="4027"/>
  <c r="AM139" i="4024"/>
  <c r="AM140" i="4024" s="1"/>
  <c r="AM142" i="4024" s="1"/>
  <c r="AM144" i="4024" s="1"/>
  <c r="AN130" i="4028"/>
  <c r="AN132" i="4028" s="1"/>
  <c r="AI130" i="4028"/>
  <c r="AI132" i="4028" s="1"/>
  <c r="F130" i="4032"/>
  <c r="F132" i="4032" s="1"/>
  <c r="AM139" i="4023"/>
  <c r="AM140" i="4023" s="1"/>
  <c r="AM142" i="4023" s="1"/>
  <c r="AM144" i="4023" s="1"/>
  <c r="I140" i="4034"/>
  <c r="P140" i="4027"/>
  <c r="F130" i="4026"/>
  <c r="F132" i="4026" s="1"/>
  <c r="Q140" i="4029"/>
  <c r="P130" i="4031"/>
  <c r="P132" i="4031" s="1"/>
  <c r="L130" i="4026"/>
  <c r="L132" i="4026" s="1"/>
  <c r="G143" i="4024"/>
  <c r="G142" i="4024"/>
  <c r="G144" i="4024" s="1"/>
  <c r="N143" i="4022"/>
  <c r="N142" i="4022"/>
  <c r="N144" i="4022" s="1"/>
  <c r="H143" i="4033"/>
  <c r="H142" i="4033"/>
  <c r="H144" i="4033" s="1"/>
  <c r="AI130" i="4020"/>
  <c r="AI132" i="4020" s="1"/>
  <c r="AJ139" i="4022"/>
  <c r="AJ140" i="4022" s="1"/>
  <c r="AJ143" i="4022" s="1"/>
  <c r="AC130" i="4031"/>
  <c r="AC132" i="4031" s="1"/>
  <c r="E139" i="4021"/>
  <c r="AA130" i="4026"/>
  <c r="AA132" i="4026" s="1"/>
  <c r="N139" i="4018"/>
  <c r="AK130" i="4030"/>
  <c r="AK132" i="4030" s="1"/>
  <c r="T130" i="4018"/>
  <c r="T132" i="4018" s="1"/>
  <c r="AR130" i="4020"/>
  <c r="AR132" i="4020" s="1"/>
  <c r="Z130" i="4028"/>
  <c r="Z132" i="4028" s="1"/>
  <c r="R140" i="4032"/>
  <c r="AJ130" i="4031"/>
  <c r="AJ132" i="4031" s="1"/>
  <c r="T139" i="4036"/>
  <c r="T140" i="4036" s="1"/>
  <c r="AO139" i="4018"/>
  <c r="AO140" i="4018" s="1"/>
  <c r="J139" i="4020"/>
  <c r="AP139" i="4022"/>
  <c r="AP140" i="4022" s="1"/>
  <c r="AP143" i="4022" s="1"/>
  <c r="AC130" i="4026"/>
  <c r="AC132" i="4026" s="1"/>
  <c r="G130" i="4030"/>
  <c r="G132" i="4030" s="1"/>
  <c r="Q139" i="4035"/>
  <c r="H130" i="4020"/>
  <c r="H132" i="4020" s="1"/>
  <c r="R140" i="4018"/>
  <c r="L143" i="4018"/>
  <c r="L142" i="4018"/>
  <c r="L144" i="4018" s="1"/>
  <c r="AO130" i="4020"/>
  <c r="AO132" i="4020" s="1"/>
  <c r="K140" i="4023"/>
  <c r="AD139" i="4025"/>
  <c r="AD140" i="4025" s="1"/>
  <c r="AD143" i="4025" s="1"/>
  <c r="Z130" i="4031"/>
  <c r="Z132" i="4031" s="1"/>
  <c r="L140" i="4029"/>
  <c r="M130" i="4030"/>
  <c r="M132" i="4030" s="1"/>
  <c r="AD139" i="4022"/>
  <c r="AD140" i="4022" s="1"/>
  <c r="AD143" i="4022" s="1"/>
  <c r="V130" i="4026"/>
  <c r="V132" i="4026" s="1"/>
  <c r="H130" i="4028"/>
  <c r="H132" i="4028" s="1"/>
  <c r="Q140" i="4032"/>
  <c r="G143" i="4035"/>
  <c r="G142" i="4035"/>
  <c r="G144" i="4035" s="1"/>
  <c r="L139" i="4030"/>
  <c r="J139" i="4027"/>
  <c r="L140" i="4020"/>
  <c r="L132" i="4033"/>
  <c r="AA130" i="4019"/>
  <c r="AA132" i="4019" s="1"/>
  <c r="J142" i="4031"/>
  <c r="J144" i="4031" s="1"/>
  <c r="J143" i="4031"/>
  <c r="S142" i="4026"/>
  <c r="S144" i="4026" s="1"/>
  <c r="S143" i="4026"/>
  <c r="E132" i="4033"/>
  <c r="C151" i="4033"/>
  <c r="O142" i="4021"/>
  <c r="O144" i="4021" s="1"/>
  <c r="O143" i="4021"/>
  <c r="E140" i="4018"/>
  <c r="K142" i="4024"/>
  <c r="K144" i="4024" s="1"/>
  <c r="K143" i="4024"/>
  <c r="L140" i="4022"/>
  <c r="I140" i="4021"/>
  <c r="P132" i="4026"/>
  <c r="AC139" i="4030"/>
  <c r="AC140" i="4030" s="1"/>
  <c r="AC143" i="4030" s="1"/>
  <c r="AL130" i="4033"/>
  <c r="AL132" i="4033" s="1"/>
  <c r="Q140" i="4022"/>
  <c r="Y130" i="4021"/>
  <c r="Y132" i="4021" s="1"/>
  <c r="N130" i="4033"/>
  <c r="N132" i="4033" s="1"/>
  <c r="O140" i="4035"/>
  <c r="H140" i="4035"/>
  <c r="N140" i="4034"/>
  <c r="I140" i="4029"/>
  <c r="S139" i="4018"/>
  <c r="AE130" i="4031"/>
  <c r="AE132" i="4031" s="1"/>
  <c r="J142" i="4023"/>
  <c r="J144" i="4023" s="1"/>
  <c r="J143" i="4023"/>
  <c r="K143" i="4025"/>
  <c r="K142" i="4025"/>
  <c r="K144" i="4025" s="1"/>
  <c r="G142" i="4022"/>
  <c r="G144" i="4022" s="1"/>
  <c r="G143" i="4022"/>
  <c r="N140" i="4023"/>
  <c r="R130" i="4020"/>
  <c r="R132" i="4020" s="1"/>
  <c r="AN130" i="4021"/>
  <c r="AN132" i="4021" s="1"/>
  <c r="M132" i="4026"/>
  <c r="AM130" i="4030"/>
  <c r="AM132" i="4030" s="1"/>
  <c r="U130" i="4033"/>
  <c r="U132" i="4033" s="1"/>
  <c r="P140" i="4034"/>
  <c r="J140" i="4018"/>
  <c r="N130" i="4020"/>
  <c r="N132" i="4020" s="1"/>
  <c r="AI130" i="4021"/>
  <c r="AI132" i="4021" s="1"/>
  <c r="J140" i="4025"/>
  <c r="AH139" i="4026"/>
  <c r="AH140" i="4026" s="1"/>
  <c r="I139" i="4030"/>
  <c r="AL139" i="4030"/>
  <c r="AL140" i="4030" s="1"/>
  <c r="AL142" i="4030" s="1"/>
  <c r="AL144" i="4030" s="1"/>
  <c r="F140" i="4034"/>
  <c r="K142" i="4029"/>
  <c r="K144" i="4029" s="1"/>
  <c r="R140" i="4023"/>
  <c r="G142" i="4032"/>
  <c r="G144" i="4032" s="1"/>
  <c r="N142" i="4024"/>
  <c r="N144" i="4024" s="1"/>
  <c r="P142" i="4032"/>
  <c r="P144" i="4032" s="1"/>
  <c r="K142" i="4022"/>
  <c r="K144" i="4022" s="1"/>
  <c r="I140" i="4023"/>
  <c r="P140" i="4033"/>
  <c r="O140" i="4034"/>
  <c r="G140" i="4033"/>
  <c r="W139" i="4030"/>
  <c r="W140" i="4030" s="1"/>
  <c r="W143" i="4030" s="1"/>
  <c r="AQ139" i="4026"/>
  <c r="AQ140" i="4026" s="1"/>
  <c r="AC139" i="4027"/>
  <c r="AC140" i="4027" s="1"/>
  <c r="AC142" i="4027" s="1"/>
  <c r="AC144" i="4027" s="1"/>
  <c r="G142" i="4027"/>
  <c r="G144" i="4027" s="1"/>
  <c r="G143" i="4027"/>
  <c r="H140" i="4029"/>
  <c r="AB139" i="4029"/>
  <c r="AB140" i="4029" s="1"/>
  <c r="AB142" i="4029" s="1"/>
  <c r="AB144" i="4029" s="1"/>
  <c r="I143" i="4036"/>
  <c r="I142" i="4036"/>
  <c r="I144" i="4036" s="1"/>
  <c r="E139" i="4023"/>
  <c r="AJ139" i="4029"/>
  <c r="AJ140" i="4029" s="1"/>
  <c r="AJ142" i="4029" s="1"/>
  <c r="AJ144" i="4029" s="1"/>
  <c r="M140" i="4034"/>
  <c r="P142" i="4036"/>
  <c r="P144" i="4036" s="1"/>
  <c r="P143" i="4036"/>
  <c r="Z139" i="4020"/>
  <c r="Z140" i="4020" s="1"/>
  <c r="Z142" i="4020" s="1"/>
  <c r="Z144" i="4020" s="1"/>
  <c r="W139" i="4033"/>
  <c r="W140" i="4033" s="1"/>
  <c r="W142" i="4033" s="1"/>
  <c r="W144" i="4033" s="1"/>
  <c r="H140" i="4023"/>
  <c r="J140" i="4026"/>
  <c r="R142" i="4036"/>
  <c r="R144" i="4036" s="1"/>
  <c r="R143" i="4036"/>
  <c r="P143" i="4024"/>
  <c r="P142" i="4024"/>
  <c r="P144" i="4024" s="1"/>
  <c r="F143" i="4021"/>
  <c r="F142" i="4021"/>
  <c r="F144" i="4021" s="1"/>
  <c r="K140" i="4020"/>
  <c r="G139" i="4019"/>
  <c r="O139" i="4022"/>
  <c r="L140" i="4031"/>
  <c r="AP139" i="4031"/>
  <c r="AP140" i="4031" s="1"/>
  <c r="AP142" i="4031" s="1"/>
  <c r="AP144" i="4031" s="1"/>
  <c r="AM139" i="4034"/>
  <c r="AM140" i="4034" s="1"/>
  <c r="AM143" i="4034" s="1"/>
  <c r="AF139" i="4036"/>
  <c r="AF140" i="4036" s="1"/>
  <c r="AF142" i="4036" s="1"/>
  <c r="AF144" i="4036" s="1"/>
  <c r="S139" i="4020"/>
  <c r="F140" i="4019"/>
  <c r="K139" i="4036"/>
  <c r="V139" i="4031"/>
  <c r="V140" i="4031" s="1"/>
  <c r="V143" i="4031" s="1"/>
  <c r="AH139" i="4018"/>
  <c r="AH140" i="4018" s="1"/>
  <c r="AH142" i="4018" s="1"/>
  <c r="AH144" i="4018" s="1"/>
  <c r="J140" i="4022"/>
  <c r="O143" i="4033"/>
  <c r="O142" i="4033"/>
  <c r="O144" i="4033" s="1"/>
  <c r="M143" i="4035"/>
  <c r="M142" i="4035"/>
  <c r="M144" i="4035" s="1"/>
  <c r="R140" i="4021"/>
  <c r="T139" i="4033"/>
  <c r="T140" i="4033" s="1"/>
  <c r="T143" i="4033" s="1"/>
  <c r="O140" i="4019"/>
  <c r="M140" i="4024"/>
  <c r="AJ139" i="4023"/>
  <c r="AJ140" i="4023" s="1"/>
  <c r="AJ142" i="4023" s="1"/>
  <c r="AJ144" i="4023" s="1"/>
  <c r="R140" i="4028"/>
  <c r="M140" i="4036"/>
  <c r="AD139" i="4026"/>
  <c r="AD140" i="4026" s="1"/>
  <c r="AD142" i="4026" s="1"/>
  <c r="AD144" i="4026" s="1"/>
  <c r="G140" i="4020"/>
  <c r="AQ139" i="4033"/>
  <c r="AQ140" i="4033" s="1"/>
  <c r="AQ143" i="4033" s="1"/>
  <c r="K139" i="4019"/>
  <c r="S140" i="4034"/>
  <c r="I139" i="4020"/>
  <c r="AF139" i="4026"/>
  <c r="AF140" i="4026" s="1"/>
  <c r="AF142" i="4026" s="1"/>
  <c r="AF144" i="4026" s="1"/>
  <c r="C151" i="4027"/>
  <c r="E140" i="4032"/>
  <c r="P140" i="4025"/>
  <c r="K140" i="4032"/>
  <c r="P140" i="4023"/>
  <c r="AE139" i="4026"/>
  <c r="AE140" i="4026" s="1"/>
  <c r="AE142" i="4026" s="1"/>
  <c r="AE144" i="4026" s="1"/>
  <c r="K140" i="4034"/>
  <c r="E140" i="4022"/>
  <c r="N140" i="4026"/>
  <c r="Y139" i="4026"/>
  <c r="Y140" i="4026" s="1"/>
  <c r="Y142" i="4026" s="1"/>
  <c r="Y144" i="4026" s="1"/>
  <c r="O142" i="4029"/>
  <c r="O144" i="4029" s="1"/>
  <c r="O143" i="4029"/>
  <c r="F140" i="4030"/>
  <c r="O140" i="4018"/>
  <c r="G140" i="4023"/>
  <c r="O139" i="4032"/>
  <c r="F140" i="4035"/>
  <c r="N140" i="4029"/>
  <c r="H140" i="4024"/>
  <c r="Q130" i="4026"/>
  <c r="Q132" i="4026" s="1"/>
  <c r="AQ130" i="4019"/>
  <c r="AQ132" i="4019" s="1"/>
  <c r="S142" i="4025"/>
  <c r="S144" i="4025" s="1"/>
  <c r="F140" i="4023"/>
  <c r="R140" i="4034"/>
  <c r="H140" i="4027"/>
  <c r="L142" i="4036"/>
  <c r="L144" i="4036" s="1"/>
  <c r="I142" i="4027"/>
  <c r="I144" i="4027" s="1"/>
  <c r="N142" i="4028"/>
  <c r="N144" i="4028" s="1"/>
  <c r="L140" i="4023"/>
  <c r="G8" i="65"/>
  <c r="U142" i="4029" l="1"/>
  <c r="U144" i="4029" s="1"/>
  <c r="L143" i="4032"/>
  <c r="T143" i="4029"/>
  <c r="AA139" i="4035"/>
  <c r="AA140" i="4035" s="1"/>
  <c r="AA142" i="4035" s="1"/>
  <c r="AA144" i="4035" s="1"/>
  <c r="I139" i="4032"/>
  <c r="I140" i="4032" s="1"/>
  <c r="I143" i="4032" s="1"/>
  <c r="F146" i="4037"/>
  <c r="G146" i="4037" s="1"/>
  <c r="H146" i="4037" s="1"/>
  <c r="I146" i="4037" s="1"/>
  <c r="J146" i="4037" s="1"/>
  <c r="K146" i="4037" s="1"/>
  <c r="L146" i="4037" s="1"/>
  <c r="M146" i="4037" s="1"/>
  <c r="N146" i="4037" s="1"/>
  <c r="O146" i="4037" s="1"/>
  <c r="P146" i="4037" s="1"/>
  <c r="Q146" i="4037" s="1"/>
  <c r="R146" i="4037" s="1"/>
  <c r="S146" i="4037" s="1"/>
  <c r="T146" i="4037" s="1"/>
  <c r="U146" i="4037" s="1"/>
  <c r="V146" i="4037" s="1"/>
  <c r="W146" i="4037" s="1"/>
  <c r="X146" i="4037" s="1"/>
  <c r="Y146" i="4037" s="1"/>
  <c r="Z146" i="4037" s="1"/>
  <c r="AA146" i="4037" s="1"/>
  <c r="AB146" i="4037" s="1"/>
  <c r="AC146" i="4037" s="1"/>
  <c r="AD146" i="4037" s="1"/>
  <c r="AE146" i="4037" s="1"/>
  <c r="AF146" i="4037" s="1"/>
  <c r="AG146" i="4037" s="1"/>
  <c r="AH146" i="4037" s="1"/>
  <c r="AI146" i="4037" s="1"/>
  <c r="AJ146" i="4037" s="1"/>
  <c r="AK146" i="4037" s="1"/>
  <c r="AL146" i="4037" s="1"/>
  <c r="AM146" i="4037" s="1"/>
  <c r="AN146" i="4037" s="1"/>
  <c r="AO146" i="4037" s="1"/>
  <c r="AP146" i="4037" s="1"/>
  <c r="AQ146" i="4037" s="1"/>
  <c r="AR146" i="4037" s="1"/>
  <c r="C153" i="4037"/>
  <c r="K142" i="4035"/>
  <c r="K144" i="4035" s="1"/>
  <c r="J142" i="4035"/>
  <c r="J144" i="4035" s="1"/>
  <c r="AH142" i="4035"/>
  <c r="AH144" i="4035" s="1"/>
  <c r="AQ142" i="4033"/>
  <c r="AQ144" i="4033" s="1"/>
  <c r="AD142" i="4032"/>
  <c r="AD144" i="4032" s="1"/>
  <c r="AO139" i="4032"/>
  <c r="AO140" i="4032" s="1"/>
  <c r="AO142" i="4032" s="1"/>
  <c r="AO144" i="4032" s="1"/>
  <c r="N142" i="4032"/>
  <c r="N144" i="4032" s="1"/>
  <c r="AC142" i="4029"/>
  <c r="AC144" i="4029" s="1"/>
  <c r="X143" i="4029"/>
  <c r="AP142" i="4029"/>
  <c r="AP144" i="4029" s="1"/>
  <c r="AM143" i="4024"/>
  <c r="U139" i="4035"/>
  <c r="U140" i="4035" s="1"/>
  <c r="U143" i="4035" s="1"/>
  <c r="Z142" i="4035"/>
  <c r="Z144" i="4035" s="1"/>
  <c r="AJ139" i="4035"/>
  <c r="AJ140" i="4035" s="1"/>
  <c r="AJ143" i="4035" s="1"/>
  <c r="AR143" i="4033"/>
  <c r="AF143" i="4030"/>
  <c r="AC142" i="4030"/>
  <c r="AC144" i="4030" s="1"/>
  <c r="AL139" i="4029"/>
  <c r="AL140" i="4029" s="1"/>
  <c r="AL142" i="4029" s="1"/>
  <c r="AL144" i="4029" s="1"/>
  <c r="F142" i="4028"/>
  <c r="F144" i="4028" s="1"/>
  <c r="F143" i="4028"/>
  <c r="AJ142" i="4026"/>
  <c r="AJ144" i="4026" s="1"/>
  <c r="O143" i="4020"/>
  <c r="O142" i="4020"/>
  <c r="O144" i="4020" s="1"/>
  <c r="AH143" i="4020"/>
  <c r="AP142" i="4022"/>
  <c r="AP144" i="4022" s="1"/>
  <c r="AM143" i="4023"/>
  <c r="AR139" i="4034"/>
  <c r="AR140" i="4034" s="1"/>
  <c r="AR142" i="4034" s="1"/>
  <c r="AR144" i="4034" s="1"/>
  <c r="AC139" i="4035"/>
  <c r="AC140" i="4035" s="1"/>
  <c r="AC143" i="4035" s="1"/>
  <c r="AM139" i="4032"/>
  <c r="AM140" i="4032" s="1"/>
  <c r="AM142" i="4032" s="1"/>
  <c r="AM144" i="4032" s="1"/>
  <c r="AR142" i="4031"/>
  <c r="AR144" i="4031" s="1"/>
  <c r="AL142" i="4031"/>
  <c r="AL144" i="4031" s="1"/>
  <c r="V142" i="4031"/>
  <c r="V144" i="4031" s="1"/>
  <c r="W142" i="4030"/>
  <c r="W144" i="4030" s="1"/>
  <c r="AR142" i="4030"/>
  <c r="AR144" i="4030" s="1"/>
  <c r="AH142" i="4029"/>
  <c r="AH144" i="4029" s="1"/>
  <c r="AR142" i="4029"/>
  <c r="AR144" i="4029" s="1"/>
  <c r="V142" i="4029"/>
  <c r="V144" i="4029" s="1"/>
  <c r="AG142" i="4026"/>
  <c r="AG144" i="4026" s="1"/>
  <c r="AD143" i="4026"/>
  <c r="AO142" i="4026"/>
  <c r="AO144" i="4026" s="1"/>
  <c r="AB143" i="4019"/>
  <c r="AB142" i="4019"/>
  <c r="AB144" i="4019" s="1"/>
  <c r="AP143" i="4018"/>
  <c r="AN143" i="4018"/>
  <c r="AD142" i="4034"/>
  <c r="AD144" i="4034" s="1"/>
  <c r="AM142" i="4034"/>
  <c r="AM144" i="4034" s="1"/>
  <c r="AE142" i="4033"/>
  <c r="AE144" i="4033" s="1"/>
  <c r="T142" i="4033"/>
  <c r="T144" i="4033" s="1"/>
  <c r="W143" i="4033"/>
  <c r="AK139" i="4032"/>
  <c r="AK140" i="4032" s="1"/>
  <c r="AK142" i="4032" s="1"/>
  <c r="AK144" i="4032" s="1"/>
  <c r="AF139" i="4032"/>
  <c r="AF140" i="4032" s="1"/>
  <c r="AF143" i="4032" s="1"/>
  <c r="Y142" i="4031"/>
  <c r="Y144" i="4031" s="1"/>
  <c r="AB142" i="4030"/>
  <c r="AB144" i="4030" s="1"/>
  <c r="AH142" i="4030"/>
  <c r="AH144" i="4030" s="1"/>
  <c r="T142" i="4030"/>
  <c r="T144" i="4030" s="1"/>
  <c r="AN142" i="4030"/>
  <c r="AN144" i="4030" s="1"/>
  <c r="AE142" i="4029"/>
  <c r="AE144" i="4029" s="1"/>
  <c r="AG139" i="4029"/>
  <c r="AG140" i="4029" s="1"/>
  <c r="AG142" i="4029" s="1"/>
  <c r="AG144" i="4029" s="1"/>
  <c r="W139" i="4029"/>
  <c r="W140" i="4029" s="1"/>
  <c r="W142" i="4029" s="1"/>
  <c r="W144" i="4029" s="1"/>
  <c r="AK142" i="4025"/>
  <c r="AK144" i="4025" s="1"/>
  <c r="AA143" i="4025"/>
  <c r="AD142" i="4022"/>
  <c r="AD144" i="4022" s="1"/>
  <c r="AJ142" i="4022"/>
  <c r="AJ144" i="4022" s="1"/>
  <c r="AD143" i="4021"/>
  <c r="AH142" i="4021"/>
  <c r="AH144" i="4021" s="1"/>
  <c r="AK142" i="4021"/>
  <c r="AK144" i="4021" s="1"/>
  <c r="AK143" i="4020"/>
  <c r="AJ142" i="4020"/>
  <c r="AJ144" i="4020" s="1"/>
  <c r="AD139" i="4018"/>
  <c r="AD140" i="4018" s="1"/>
  <c r="AD143" i="4018" s="1"/>
  <c r="AJ142" i="4018"/>
  <c r="AJ144" i="4018" s="1"/>
  <c r="AM143" i="4019"/>
  <c r="AM142" i="4019"/>
  <c r="AM144" i="4019" s="1"/>
  <c r="AD142" i="4019"/>
  <c r="AD144" i="4019" s="1"/>
  <c r="AN142" i="4019"/>
  <c r="AN144" i="4019" s="1"/>
  <c r="AH142" i="4019"/>
  <c r="AH144" i="4019" s="1"/>
  <c r="T142" i="4019"/>
  <c r="T144" i="4019" s="1"/>
  <c r="T143" i="4019"/>
  <c r="AP142" i="4021"/>
  <c r="AP144" i="4021" s="1"/>
  <c r="AP143" i="4021"/>
  <c r="AR142" i="4019"/>
  <c r="AR144" i="4019" s="1"/>
  <c r="AR143" i="4019"/>
  <c r="V143" i="4028"/>
  <c r="V142" i="4028"/>
  <c r="V144" i="4028" s="1"/>
  <c r="AM142" i="4033"/>
  <c r="AM144" i="4033" s="1"/>
  <c r="AM143" i="4033"/>
  <c r="AN142" i="4027"/>
  <c r="AN144" i="4027" s="1"/>
  <c r="AN143" i="4027"/>
  <c r="X142" i="4031"/>
  <c r="X144" i="4031" s="1"/>
  <c r="X143" i="4031"/>
  <c r="AE143" i="4027"/>
  <c r="AE142" i="4027"/>
  <c r="AE144" i="4027" s="1"/>
  <c r="Z142" i="4019"/>
  <c r="Z144" i="4019" s="1"/>
  <c r="Z143" i="4019"/>
  <c r="X142" i="4032"/>
  <c r="X144" i="4032" s="1"/>
  <c r="X143" i="4032"/>
  <c r="AQ142" i="4026"/>
  <c r="AQ144" i="4026" s="1"/>
  <c r="AQ143" i="4026"/>
  <c r="AH143" i="4026"/>
  <c r="AH142" i="4026"/>
  <c r="AH144" i="4026" s="1"/>
  <c r="AO142" i="4018"/>
  <c r="AO144" i="4018" s="1"/>
  <c r="AO143" i="4018"/>
  <c r="T142" i="4036"/>
  <c r="T144" i="4036" s="1"/>
  <c r="T143" i="4036"/>
  <c r="AA143" i="4029"/>
  <c r="AA142" i="4029"/>
  <c r="AA144" i="4029" s="1"/>
  <c r="AK142" i="4028"/>
  <c r="AK144" i="4028" s="1"/>
  <c r="AK143" i="4028"/>
  <c r="AF143" i="4019"/>
  <c r="AF142" i="4019"/>
  <c r="AF144" i="4019" s="1"/>
  <c r="W142" i="4027"/>
  <c r="W144" i="4027" s="1"/>
  <c r="W143" i="4027"/>
  <c r="AG142" i="4031"/>
  <c r="AG144" i="4031" s="1"/>
  <c r="AG143" i="4031"/>
  <c r="AD143" i="4033"/>
  <c r="AD142" i="4033"/>
  <c r="AD144" i="4033" s="1"/>
  <c r="Z142" i="4018"/>
  <c r="Z144" i="4018" s="1"/>
  <c r="Z143" i="4018"/>
  <c r="Q139" i="4026"/>
  <c r="E142" i="4022"/>
  <c r="E143" i="4022"/>
  <c r="R143" i="4034"/>
  <c r="R142" i="4034"/>
  <c r="R144" i="4034" s="1"/>
  <c r="S140" i="4028"/>
  <c r="G142" i="4020"/>
  <c r="G144" i="4020" s="1"/>
  <c r="G143" i="4020"/>
  <c r="O142" i="4019"/>
  <c r="O144" i="4019" s="1"/>
  <c r="O143" i="4019"/>
  <c r="AH143" i="4018"/>
  <c r="K140" i="4036"/>
  <c r="AO143" i="4033"/>
  <c r="J140" i="4030"/>
  <c r="AF143" i="4036"/>
  <c r="AA143" i="4033"/>
  <c r="AP143" i="4031"/>
  <c r="O140" i="4022"/>
  <c r="G140" i="4019"/>
  <c r="AE143" i="4019"/>
  <c r="Z143" i="4020"/>
  <c r="M143" i="4034"/>
  <c r="M142" i="4034"/>
  <c r="M144" i="4034" s="1"/>
  <c r="AK143" i="4027"/>
  <c r="AC143" i="4019"/>
  <c r="AJ143" i="4029"/>
  <c r="E140" i="4023"/>
  <c r="AB143" i="4029"/>
  <c r="I140" i="4026"/>
  <c r="AC143" i="4027"/>
  <c r="AJ143" i="4019"/>
  <c r="P143" i="4033"/>
  <c r="P142" i="4033"/>
  <c r="P144" i="4033" s="1"/>
  <c r="F143" i="4018"/>
  <c r="F142" i="4018"/>
  <c r="F144" i="4018" s="1"/>
  <c r="AL143" i="4030"/>
  <c r="I140" i="4030"/>
  <c r="J142" i="4025"/>
  <c r="J144" i="4025" s="1"/>
  <c r="J143" i="4025"/>
  <c r="N139" i="4020"/>
  <c r="P142" i="4034"/>
  <c r="P144" i="4034" s="1"/>
  <c r="P143" i="4034"/>
  <c r="AM139" i="4030"/>
  <c r="AM140" i="4030" s="1"/>
  <c r="R139" i="4020"/>
  <c r="AE139" i="4031"/>
  <c r="AE140" i="4031" s="1"/>
  <c r="AE143" i="4031" s="1"/>
  <c r="S140" i="4018"/>
  <c r="N143" i="4034"/>
  <c r="N142" i="4034"/>
  <c r="N144" i="4034" s="1"/>
  <c r="N139" i="4033"/>
  <c r="Q143" i="4022"/>
  <c r="Q142" i="4022"/>
  <c r="Q144" i="4022" s="1"/>
  <c r="O139" i="4031"/>
  <c r="H139" i="4026"/>
  <c r="V139" i="4026"/>
  <c r="V140" i="4026" s="1"/>
  <c r="AB143" i="4033"/>
  <c r="AD142" i="4025"/>
  <c r="AD144" i="4025" s="1"/>
  <c r="R143" i="4018"/>
  <c r="R142" i="4018"/>
  <c r="R144" i="4018" s="1"/>
  <c r="H139" i="4020"/>
  <c r="J139" i="4019"/>
  <c r="J140" i="4020"/>
  <c r="AN143" i="4033"/>
  <c r="T139" i="4018"/>
  <c r="T140" i="4018" s="1"/>
  <c r="AC139" i="4031"/>
  <c r="AC140" i="4031" s="1"/>
  <c r="AC143" i="4031" s="1"/>
  <c r="L139" i="4026"/>
  <c r="P139" i="4031"/>
  <c r="F139" i="4026"/>
  <c r="AI139" i="4028"/>
  <c r="AI140" i="4028" s="1"/>
  <c r="AI142" i="4028" s="1"/>
  <c r="AI144" i="4028" s="1"/>
  <c r="AC143" i="4018"/>
  <c r="E140" i="4035"/>
  <c r="K139" i="4030"/>
  <c r="AF143" i="4033"/>
  <c r="Q139" i="4028"/>
  <c r="T139" i="4021"/>
  <c r="T140" i="4021" s="1"/>
  <c r="T142" i="4021" s="1"/>
  <c r="T144" i="4021" s="1"/>
  <c r="F140" i="4024"/>
  <c r="G142" i="4025"/>
  <c r="G144" i="4025" s="1"/>
  <c r="G143" i="4025"/>
  <c r="O139" i="4026"/>
  <c r="AC143" i="4021"/>
  <c r="E139" i="4019"/>
  <c r="AP139" i="4028"/>
  <c r="AP140" i="4028" s="1"/>
  <c r="AP142" i="4028" s="1"/>
  <c r="AP144" i="4028" s="1"/>
  <c r="E142" i="4025"/>
  <c r="E143" i="4025"/>
  <c r="Q140" i="4018"/>
  <c r="N139" i="4030"/>
  <c r="O143" i="4028"/>
  <c r="O142" i="4028"/>
  <c r="O144" i="4028" s="1"/>
  <c r="I142" i="4024"/>
  <c r="I144" i="4024" s="1"/>
  <c r="I143" i="4024"/>
  <c r="J143" i="4034"/>
  <c r="J142" i="4034"/>
  <c r="J144" i="4034" s="1"/>
  <c r="I139" i="4031"/>
  <c r="E140" i="4036"/>
  <c r="E142" i="4034"/>
  <c r="E143" i="4034"/>
  <c r="AN139" i="4029"/>
  <c r="AN140" i="4029" s="1"/>
  <c r="AN143" i="4029" s="1"/>
  <c r="S139" i="4019"/>
  <c r="E139" i="4027"/>
  <c r="AL139" i="4018"/>
  <c r="AL140" i="4018" s="1"/>
  <c r="M139" i="4028"/>
  <c r="AL139" i="4021"/>
  <c r="AL140" i="4021" s="1"/>
  <c r="AL143" i="4021" s="1"/>
  <c r="E140" i="4024"/>
  <c r="AQ139" i="4029"/>
  <c r="AQ140" i="4029" s="1"/>
  <c r="AQ143" i="4029" s="1"/>
  <c r="AI139" i="4018"/>
  <c r="AI140" i="4018" s="1"/>
  <c r="AI143" i="4018" s="1"/>
  <c r="AH139" i="4031"/>
  <c r="AH140" i="4031" s="1"/>
  <c r="AH143" i="4031" s="1"/>
  <c r="R139" i="4029"/>
  <c r="AP139" i="4026"/>
  <c r="AP140" i="4026" s="1"/>
  <c r="AP143" i="4026" s="1"/>
  <c r="Q142" i="4033"/>
  <c r="Q144" i="4033" s="1"/>
  <c r="Q143" i="4033"/>
  <c r="S142" i="4031"/>
  <c r="S144" i="4031" s="1"/>
  <c r="S143" i="4031"/>
  <c r="I139" i="4019"/>
  <c r="E139" i="4020"/>
  <c r="AL139" i="4026"/>
  <c r="AL140" i="4026" s="1"/>
  <c r="AL143" i="4026" s="1"/>
  <c r="M139" i="4021"/>
  <c r="W139" i="4020"/>
  <c r="W140" i="4020" s="1"/>
  <c r="P143" i="4020"/>
  <c r="P142" i="4020"/>
  <c r="P144" i="4020" s="1"/>
  <c r="F142" i="4033"/>
  <c r="F144" i="4033" s="1"/>
  <c r="F143" i="4033"/>
  <c r="N140" i="4035"/>
  <c r="S139" i="4021"/>
  <c r="AR139" i="4026"/>
  <c r="AR140" i="4026" s="1"/>
  <c r="AR143" i="4026" s="1"/>
  <c r="Z139" i="4026"/>
  <c r="Z140" i="4026" s="1"/>
  <c r="Z143" i="4026" s="1"/>
  <c r="AR139" i="4018"/>
  <c r="AR140" i="4018" s="1"/>
  <c r="I142" i="4028"/>
  <c r="I144" i="4028" s="1"/>
  <c r="I143" i="4028"/>
  <c r="AJ143" i="4034"/>
  <c r="Q142" i="4034"/>
  <c r="Q144" i="4034" s="1"/>
  <c r="Q143" i="4034"/>
  <c r="AR139" i="4028"/>
  <c r="AR140" i="4028" s="1"/>
  <c r="AR143" i="4028" s="1"/>
  <c r="AR139" i="4021"/>
  <c r="AR140" i="4021" s="1"/>
  <c r="AR142" i="4021" s="1"/>
  <c r="AR144" i="4021" s="1"/>
  <c r="E140" i="4031"/>
  <c r="Q143" i="4025"/>
  <c r="Q142" i="4025"/>
  <c r="Q144" i="4025" s="1"/>
  <c r="O140" i="4025"/>
  <c r="O140" i="4032"/>
  <c r="G142" i="4023"/>
  <c r="G144" i="4023" s="1"/>
  <c r="G143" i="4023"/>
  <c r="W143" i="4019"/>
  <c r="O142" i="4018"/>
  <c r="O144" i="4018" s="1"/>
  <c r="O143" i="4018"/>
  <c r="Y143" i="4030"/>
  <c r="AC143" i="4033"/>
  <c r="Y143" i="4026"/>
  <c r="N142" i="4026"/>
  <c r="N144" i="4026" s="1"/>
  <c r="N143" i="4026"/>
  <c r="K142" i="4034"/>
  <c r="K144" i="4034" s="1"/>
  <c r="K143" i="4034"/>
  <c r="AE143" i="4026"/>
  <c r="P143" i="4025"/>
  <c r="P142" i="4025"/>
  <c r="P144" i="4025" s="1"/>
  <c r="Q140" i="4031"/>
  <c r="AF143" i="4026"/>
  <c r="K140" i="4019"/>
  <c r="AJ143" i="4023"/>
  <c r="M142" i="4024"/>
  <c r="M144" i="4024" s="1"/>
  <c r="M143" i="4024"/>
  <c r="AO143" i="4019"/>
  <c r="L142" i="4023"/>
  <c r="L144" i="4023" s="1"/>
  <c r="L143" i="4023"/>
  <c r="H142" i="4027"/>
  <c r="H144" i="4027" s="1"/>
  <c r="H143" i="4027"/>
  <c r="F142" i="4023"/>
  <c r="F144" i="4023" s="1"/>
  <c r="F143" i="4023"/>
  <c r="AQ139" i="4019"/>
  <c r="AQ140" i="4019" s="1"/>
  <c r="AQ143" i="4019" s="1"/>
  <c r="H142" i="4024"/>
  <c r="H144" i="4024" s="1"/>
  <c r="H143" i="4024"/>
  <c r="F143" i="4035"/>
  <c r="F142" i="4035"/>
  <c r="F144" i="4035" s="1"/>
  <c r="F142" i="4030"/>
  <c r="F144" i="4030" s="1"/>
  <c r="F143" i="4030"/>
  <c r="M140" i="4033"/>
  <c r="Q140" i="4020"/>
  <c r="K142" i="4032"/>
  <c r="K144" i="4032" s="1"/>
  <c r="K143" i="4032"/>
  <c r="H140" i="4019"/>
  <c r="S143" i="4034"/>
  <c r="S142" i="4034"/>
  <c r="S144" i="4034" s="1"/>
  <c r="R143" i="4028"/>
  <c r="R142" i="4028"/>
  <c r="R144" i="4028" s="1"/>
  <c r="L140" i="4019"/>
  <c r="R142" i="4021"/>
  <c r="R144" i="4021" s="1"/>
  <c r="R143" i="4021"/>
  <c r="J142" i="4022"/>
  <c r="J144" i="4022" s="1"/>
  <c r="J143" i="4022"/>
  <c r="J140" i="4029"/>
  <c r="N140" i="4027"/>
  <c r="G140" i="4021"/>
  <c r="F142" i="4019"/>
  <c r="F144" i="4019" s="1"/>
  <c r="F143" i="4019"/>
  <c r="S140" i="4020"/>
  <c r="K142" i="4020"/>
  <c r="K144" i="4020" s="1"/>
  <c r="K143" i="4020"/>
  <c r="S140" i="4029"/>
  <c r="J142" i="4026"/>
  <c r="J144" i="4026" s="1"/>
  <c r="J143" i="4026"/>
  <c r="H142" i="4023"/>
  <c r="H144" i="4023" s="1"/>
  <c r="H143" i="4023"/>
  <c r="H142" i="4029"/>
  <c r="H144" i="4029" s="1"/>
  <c r="H143" i="4029"/>
  <c r="M140" i="4019"/>
  <c r="Q140" i="4019"/>
  <c r="O143" i="4034"/>
  <c r="O142" i="4034"/>
  <c r="O144" i="4034" s="1"/>
  <c r="I143" i="4023"/>
  <c r="I142" i="4023"/>
  <c r="I144" i="4023" s="1"/>
  <c r="R143" i="4023"/>
  <c r="R142" i="4023"/>
  <c r="R144" i="4023" s="1"/>
  <c r="G140" i="4029"/>
  <c r="J143" i="4018"/>
  <c r="J142" i="4018"/>
  <c r="J144" i="4018" s="1"/>
  <c r="M139" i="4026"/>
  <c r="I143" i="4029"/>
  <c r="I142" i="4029"/>
  <c r="I144" i="4029" s="1"/>
  <c r="O142" i="4035"/>
  <c r="O144" i="4035" s="1"/>
  <c r="O143" i="4035"/>
  <c r="Y139" i="4021"/>
  <c r="Y140" i="4021" s="1"/>
  <c r="Y143" i="4021" s="1"/>
  <c r="AL139" i="4033"/>
  <c r="AL140" i="4033" s="1"/>
  <c r="AL143" i="4033" s="1"/>
  <c r="P139" i="4026"/>
  <c r="L143" i="4022"/>
  <c r="L142" i="4022"/>
  <c r="L144" i="4022" s="1"/>
  <c r="E139" i="4033"/>
  <c r="AA139" i="4019"/>
  <c r="AA140" i="4019" s="1"/>
  <c r="AA143" i="4019" s="1"/>
  <c r="L143" i="4020"/>
  <c r="L142" i="4020"/>
  <c r="L144" i="4020" s="1"/>
  <c r="R139" i="4031"/>
  <c r="H139" i="4028"/>
  <c r="M139" i="4030"/>
  <c r="Z139" i="4031"/>
  <c r="Z140" i="4031" s="1"/>
  <c r="Z143" i="4031" s="1"/>
  <c r="K143" i="4023"/>
  <c r="K142" i="4023"/>
  <c r="K144" i="4023" s="1"/>
  <c r="G139" i="4030"/>
  <c r="AJ139" i="4031"/>
  <c r="AJ140" i="4031" s="1"/>
  <c r="Z139" i="4028"/>
  <c r="Z140" i="4028" s="1"/>
  <c r="Z142" i="4028" s="1"/>
  <c r="Z144" i="4028" s="1"/>
  <c r="AK139" i="4030"/>
  <c r="AK140" i="4030" s="1"/>
  <c r="AK143" i="4030" s="1"/>
  <c r="AI139" i="4020"/>
  <c r="AI140" i="4020" s="1"/>
  <c r="R139" i="4030"/>
  <c r="Q142" i="4029"/>
  <c r="Q144" i="4029" s="1"/>
  <c r="Q143" i="4029"/>
  <c r="P142" i="4027"/>
  <c r="P144" i="4027" s="1"/>
  <c r="P143" i="4027"/>
  <c r="I142" i="4034"/>
  <c r="I144" i="4034" s="1"/>
  <c r="I143" i="4034"/>
  <c r="AN139" i="4028"/>
  <c r="AN140" i="4028" s="1"/>
  <c r="E139" i="4026"/>
  <c r="Y139" i="4029"/>
  <c r="Y140" i="4029" s="1"/>
  <c r="Y143" i="4029" s="1"/>
  <c r="R139" i="4026"/>
  <c r="X139" i="4026"/>
  <c r="X140" i="4026" s="1"/>
  <c r="X143" i="4026" s="1"/>
  <c r="S139" i="4027"/>
  <c r="AQ139" i="4021"/>
  <c r="AQ140" i="4021" s="1"/>
  <c r="AQ143" i="4021" s="1"/>
  <c r="L143" i="4021"/>
  <c r="L142" i="4021"/>
  <c r="L144" i="4021" s="1"/>
  <c r="AK139" i="4029"/>
  <c r="AK140" i="4029" s="1"/>
  <c r="AK143" i="4029" s="1"/>
  <c r="P142" i="4019"/>
  <c r="P144" i="4019" s="1"/>
  <c r="P143" i="4019"/>
  <c r="L143" i="4025"/>
  <c r="L142" i="4025"/>
  <c r="L144" i="4025" s="1"/>
  <c r="J143" i="4028"/>
  <c r="J142" i="4028"/>
  <c r="J144" i="4028" s="1"/>
  <c r="AD139" i="4030"/>
  <c r="AD140" i="4030" s="1"/>
  <c r="AD143" i="4030" s="1"/>
  <c r="N143" i="4025"/>
  <c r="N142" i="4025"/>
  <c r="N144" i="4025" s="1"/>
  <c r="H139" i="4018"/>
  <c r="Q139" i="4021"/>
  <c r="O142" i="4024"/>
  <c r="O144" i="4024" s="1"/>
  <c r="O143" i="4024"/>
  <c r="AN139" i="4026"/>
  <c r="AN140" i="4026" s="1"/>
  <c r="AK139" i="4019"/>
  <c r="AK140" i="4019" s="1"/>
  <c r="AK143" i="4019" s="1"/>
  <c r="F140" i="4031"/>
  <c r="I140" i="4033"/>
  <c r="AI139" i="4019"/>
  <c r="AI140" i="4019" s="1"/>
  <c r="AQ139" i="4031"/>
  <c r="AQ140" i="4031" s="1"/>
  <c r="AQ143" i="4031" s="1"/>
  <c r="U139" i="4026"/>
  <c r="U140" i="4026" s="1"/>
  <c r="U143" i="4026" s="1"/>
  <c r="P139" i="4029"/>
  <c r="Q140" i="4027"/>
  <c r="AP139" i="4032"/>
  <c r="AP140" i="4032" s="1"/>
  <c r="E140" i="4029"/>
  <c r="AK139" i="4033"/>
  <c r="AK140" i="4033" s="1"/>
  <c r="AK143" i="4033" s="1"/>
  <c r="R140" i="4025"/>
  <c r="H142" i="4032"/>
  <c r="H144" i="4032" s="1"/>
  <c r="H143" i="4032"/>
  <c r="F142" i="4027"/>
  <c r="F144" i="4027" s="1"/>
  <c r="F143" i="4027"/>
  <c r="AA139" i="4020"/>
  <c r="AA140" i="4020" s="1"/>
  <c r="AA143" i="4020" s="1"/>
  <c r="M139" i="4029"/>
  <c r="K143" i="4028"/>
  <c r="K142" i="4028"/>
  <c r="K144" i="4028" s="1"/>
  <c r="AF139" i="4020"/>
  <c r="AF140" i="4020" s="1"/>
  <c r="AI143" i="4035"/>
  <c r="N142" i="4021"/>
  <c r="N144" i="4021" s="1"/>
  <c r="N143" i="4021"/>
  <c r="AA142" i="4034"/>
  <c r="AA144" i="4034" s="1"/>
  <c r="O143" i="4027"/>
  <c r="O142" i="4027"/>
  <c r="O144" i="4027" s="1"/>
  <c r="AE139" i="4030"/>
  <c r="AE140" i="4030" s="1"/>
  <c r="AE143" i="4030" s="1"/>
  <c r="E143" i="4028"/>
  <c r="E142" i="4028"/>
  <c r="K139" i="4018"/>
  <c r="AQ139" i="4030"/>
  <c r="AQ140" i="4030" s="1"/>
  <c r="AQ143" i="4030" s="1"/>
  <c r="O143" i="4023"/>
  <c r="O142" i="4023"/>
  <c r="O144" i="4023" s="1"/>
  <c r="U139" i="4030"/>
  <c r="U140" i="4030" s="1"/>
  <c r="U143" i="4030" s="1"/>
  <c r="I140" i="4022"/>
  <c r="AE139" i="4021"/>
  <c r="AE140" i="4021" s="1"/>
  <c r="AE143" i="4021" s="1"/>
  <c r="O142" i="4036"/>
  <c r="O144" i="4036" s="1"/>
  <c r="O143" i="4036"/>
  <c r="E140" i="4030"/>
  <c r="J142" i="4024"/>
  <c r="J144" i="4024" s="1"/>
  <c r="J143" i="4024"/>
  <c r="J140" i="4033"/>
  <c r="N142" i="4029"/>
  <c r="N144" i="4029" s="1"/>
  <c r="N143" i="4029"/>
  <c r="P142" i="4023"/>
  <c r="P144" i="4023" s="1"/>
  <c r="P143" i="4023"/>
  <c r="E142" i="4032"/>
  <c r="E143" i="4032"/>
  <c r="F142" i="4020"/>
  <c r="F144" i="4020" s="1"/>
  <c r="F143" i="4020"/>
  <c r="I140" i="4020"/>
  <c r="M143" i="4036"/>
  <c r="M142" i="4036"/>
  <c r="M144" i="4036" s="1"/>
  <c r="H140" i="4031"/>
  <c r="L142" i="4031"/>
  <c r="L144" i="4031" s="1"/>
  <c r="L143" i="4031"/>
  <c r="S142" i="4035"/>
  <c r="S144" i="4035" s="1"/>
  <c r="S143" i="4035"/>
  <c r="M140" i="4031"/>
  <c r="G143" i="4033"/>
  <c r="G142" i="4033"/>
  <c r="G144" i="4033" s="1"/>
  <c r="N140" i="4019"/>
  <c r="F143" i="4034"/>
  <c r="F142" i="4034"/>
  <c r="F144" i="4034" s="1"/>
  <c r="AI139" i="4021"/>
  <c r="AI140" i="4021" s="1"/>
  <c r="AI142" i="4021" s="1"/>
  <c r="AI144" i="4021" s="1"/>
  <c r="U139" i="4033"/>
  <c r="U140" i="4033" s="1"/>
  <c r="U143" i="4033" s="1"/>
  <c r="AN139" i="4021"/>
  <c r="AN140" i="4021" s="1"/>
  <c r="AN143" i="4021" s="1"/>
  <c r="N143" i="4023"/>
  <c r="N142" i="4023"/>
  <c r="N144" i="4023" s="1"/>
  <c r="H142" i="4035"/>
  <c r="H144" i="4035" s="1"/>
  <c r="H143" i="4035"/>
  <c r="S139" i="4033"/>
  <c r="I143" i="4021"/>
  <c r="I142" i="4021"/>
  <c r="I144" i="4021" s="1"/>
  <c r="E143" i="4018"/>
  <c r="E142" i="4018"/>
  <c r="L139" i="4033"/>
  <c r="J140" i="4027"/>
  <c r="L140" i="4030"/>
  <c r="Q143" i="4032"/>
  <c r="Q142" i="4032"/>
  <c r="Q144" i="4032" s="1"/>
  <c r="K139" i="4026"/>
  <c r="L143" i="4029"/>
  <c r="L142" i="4029"/>
  <c r="L144" i="4029" s="1"/>
  <c r="G139" i="4026"/>
  <c r="AO139" i="4020"/>
  <c r="AO140" i="4020" s="1"/>
  <c r="Q140" i="4035"/>
  <c r="AC139" i="4026"/>
  <c r="AC140" i="4026" s="1"/>
  <c r="AC143" i="4026" s="1"/>
  <c r="R143" i="4032"/>
  <c r="R142" i="4032"/>
  <c r="R144" i="4032" s="1"/>
  <c r="AR139" i="4020"/>
  <c r="AR140" i="4020" s="1"/>
  <c r="N140" i="4018"/>
  <c r="AA139" i="4026"/>
  <c r="AA140" i="4026" s="1"/>
  <c r="AA143" i="4026" s="1"/>
  <c r="E140" i="4021"/>
  <c r="K143" i="4027"/>
  <c r="K142" i="4027"/>
  <c r="K144" i="4027" s="1"/>
  <c r="F139" i="4032"/>
  <c r="R142" i="4027"/>
  <c r="R144" i="4027" s="1"/>
  <c r="R143" i="4027"/>
  <c r="AJ139" i="4033"/>
  <c r="AJ140" i="4033" s="1"/>
  <c r="F143" i="4029"/>
  <c r="F142" i="4029"/>
  <c r="F144" i="4029" s="1"/>
  <c r="R139" i="4019"/>
  <c r="U139" i="4019"/>
  <c r="U140" i="4019" s="1"/>
  <c r="U143" i="4019" s="1"/>
  <c r="L140" i="4034"/>
  <c r="L143" i="4024"/>
  <c r="L142" i="4024"/>
  <c r="L144" i="4024" s="1"/>
  <c r="AO139" i="4027"/>
  <c r="AO140" i="4027" s="1"/>
  <c r="AO142" i="4027" s="1"/>
  <c r="AO144" i="4027" s="1"/>
  <c r="P139" i="4021"/>
  <c r="S139" i="4030"/>
  <c r="R140" i="4024"/>
  <c r="F140" i="4022"/>
  <c r="AG139" i="4032"/>
  <c r="AG140" i="4032" s="1"/>
  <c r="M142" i="4023"/>
  <c r="M144" i="4023" s="1"/>
  <c r="M143" i="4023"/>
  <c r="S142" i="4024"/>
  <c r="S144" i="4024" s="1"/>
  <c r="S143" i="4024"/>
  <c r="AF139" i="4027"/>
  <c r="AF140" i="4027" s="1"/>
  <c r="AF143" i="4027" s="1"/>
  <c r="AB139" i="4028"/>
  <c r="AB140" i="4028" s="1"/>
  <c r="AB143" i="4028" s="1"/>
  <c r="G142" i="4018"/>
  <c r="G144" i="4018" s="1"/>
  <c r="G143" i="4018"/>
  <c r="M142" i="4018"/>
  <c r="M144" i="4018" s="1"/>
  <c r="M143" i="4018"/>
  <c r="F143" i="4025"/>
  <c r="F142" i="4025"/>
  <c r="F144" i="4025" s="1"/>
  <c r="Q142" i="4030"/>
  <c r="Q144" i="4030" s="1"/>
  <c r="Q143" i="4030"/>
  <c r="G139" i="4031"/>
  <c r="AN139" i="4031"/>
  <c r="AN140" i="4031" s="1"/>
  <c r="AN143" i="4031" s="1"/>
  <c r="F142" i="4036"/>
  <c r="F144" i="4036" s="1"/>
  <c r="F143" i="4036"/>
  <c r="AL139" i="4019"/>
  <c r="AL140" i="4019" s="1"/>
  <c r="O142" i="4030"/>
  <c r="O144" i="4030" s="1"/>
  <c r="O143" i="4030"/>
  <c r="M139" i="4027"/>
  <c r="AO139" i="4030"/>
  <c r="AO140" i="4030" s="1"/>
  <c r="AO142" i="4030" s="1"/>
  <c r="AO144" i="4030" s="1"/>
  <c r="J139" i="4021"/>
  <c r="AJ139" i="4030"/>
  <c r="AJ140" i="4030" s="1"/>
  <c r="AJ142" i="4030" s="1"/>
  <c r="AJ144" i="4030" s="1"/>
  <c r="P140" i="4018"/>
  <c r="V139" i="4027"/>
  <c r="V140" i="4027" s="1"/>
  <c r="H142" i="4030"/>
  <c r="H144" i="4030" s="1"/>
  <c r="H143" i="4030"/>
  <c r="K139" i="4031"/>
  <c r="AM139" i="4026"/>
  <c r="AM140" i="4026" s="1"/>
  <c r="AM143" i="4026" s="1"/>
  <c r="AB139" i="4027"/>
  <c r="AB140" i="4027" s="1"/>
  <c r="AI139" i="4026"/>
  <c r="AI140" i="4026" s="1"/>
  <c r="AI142" i="4026" s="1"/>
  <c r="AI144" i="4026" s="1"/>
  <c r="AA139" i="4031"/>
  <c r="AA140" i="4031" s="1"/>
  <c r="AI139" i="4031"/>
  <c r="AI140" i="4031" s="1"/>
  <c r="AI143" i="4031" s="1"/>
  <c r="AB139" i="4021"/>
  <c r="AB140" i="4021" s="1"/>
  <c r="AB142" i="4021" s="1"/>
  <c r="AB144" i="4021" s="1"/>
  <c r="P143" i="4022"/>
  <c r="P142" i="4022"/>
  <c r="P144" i="4022" s="1"/>
  <c r="M143" i="4032"/>
  <c r="M142" i="4032"/>
  <c r="M144" i="4032" s="1"/>
  <c r="H139" i="4021"/>
  <c r="M140" i="4020"/>
  <c r="P139" i="4030"/>
  <c r="AE139" i="4028"/>
  <c r="AE140" i="4028" s="1"/>
  <c r="K139" i="4033"/>
  <c r="AA139" i="4030"/>
  <c r="AA140" i="4030" s="1"/>
  <c r="Z139" i="4021"/>
  <c r="Z140" i="4021" s="1"/>
  <c r="Z143" i="4021" s="1"/>
  <c r="R140" i="4022"/>
  <c r="R139" i="4033"/>
  <c r="K140" i="4021"/>
  <c r="I140" i="4025"/>
  <c r="G143" i="4034"/>
  <c r="G142" i="4034"/>
  <c r="G144" i="4034" s="1"/>
  <c r="N140" i="4036"/>
  <c r="AA143" i="4035" l="1"/>
  <c r="I142" i="4032"/>
  <c r="I144" i="4032" s="1"/>
  <c r="AO143" i="4032"/>
  <c r="AK143" i="4032"/>
  <c r="C161" i="4037"/>
  <c r="AJ142" i="4035"/>
  <c r="AJ144" i="4035" s="1"/>
  <c r="AL143" i="4029"/>
  <c r="AR143" i="4034"/>
  <c r="U142" i="4035"/>
  <c r="U144" i="4035" s="1"/>
  <c r="AR142" i="4028"/>
  <c r="AR144" i="4028" s="1"/>
  <c r="AM142" i="4026"/>
  <c r="AM144" i="4026" s="1"/>
  <c r="AC142" i="4035"/>
  <c r="AC144" i="4035" s="1"/>
  <c r="AK142" i="4033"/>
  <c r="AK144" i="4033" s="1"/>
  <c r="AL142" i="4033"/>
  <c r="AL144" i="4033" s="1"/>
  <c r="AF142" i="4032"/>
  <c r="AF144" i="4032" s="1"/>
  <c r="AM143" i="4032"/>
  <c r="AN142" i="4031"/>
  <c r="AN144" i="4031" s="1"/>
  <c r="AI142" i="4031"/>
  <c r="AI144" i="4031" s="1"/>
  <c r="AO143" i="4030"/>
  <c r="AG143" i="4029"/>
  <c r="AP142" i="4026"/>
  <c r="AP144" i="4026" s="1"/>
  <c r="AA142" i="4026"/>
  <c r="AA144" i="4026" s="1"/>
  <c r="T143" i="4021"/>
  <c r="AL142" i="4021"/>
  <c r="AL144" i="4021" s="1"/>
  <c r="AA142" i="4019"/>
  <c r="AA144" i="4019" s="1"/>
  <c r="AQ142" i="4031"/>
  <c r="AQ144" i="4031" s="1"/>
  <c r="AK142" i="4029"/>
  <c r="AK144" i="4029" s="1"/>
  <c r="AQ142" i="4029"/>
  <c r="AQ144" i="4029" s="1"/>
  <c r="Z143" i="4028"/>
  <c r="X142" i="4026"/>
  <c r="X144" i="4026" s="1"/>
  <c r="AH142" i="4031"/>
  <c r="AH144" i="4031" s="1"/>
  <c r="AE142" i="4030"/>
  <c r="AE144" i="4030" s="1"/>
  <c r="W143" i="4029"/>
  <c r="AP143" i="4028"/>
  <c r="AF142" i="4027"/>
  <c r="AF144" i="4027" s="1"/>
  <c r="AC142" i="4026"/>
  <c r="AC144" i="4026" s="1"/>
  <c r="Z142" i="4021"/>
  <c r="Z144" i="4021" s="1"/>
  <c r="AE142" i="4021"/>
  <c r="AE144" i="4021" s="1"/>
  <c r="AN142" i="4021"/>
  <c r="AN144" i="4021" s="1"/>
  <c r="AR143" i="4021"/>
  <c r="AI143" i="4021"/>
  <c r="AA142" i="4020"/>
  <c r="AA144" i="4020" s="1"/>
  <c r="AD142" i="4018"/>
  <c r="AD144" i="4018" s="1"/>
  <c r="AK142" i="4019"/>
  <c r="AK144" i="4019" s="1"/>
  <c r="U142" i="4019"/>
  <c r="U144" i="4019" s="1"/>
  <c r="AA142" i="4030"/>
  <c r="AA144" i="4030" s="1"/>
  <c r="AA143" i="4030"/>
  <c r="AE143" i="4028"/>
  <c r="AE142" i="4028"/>
  <c r="AE144" i="4028" s="1"/>
  <c r="AA142" i="4031"/>
  <c r="AA144" i="4031" s="1"/>
  <c r="AA143" i="4031"/>
  <c r="AB142" i="4027"/>
  <c r="AB144" i="4027" s="1"/>
  <c r="AB143" i="4027"/>
  <c r="V143" i="4027"/>
  <c r="V142" i="4027"/>
  <c r="V144" i="4027" s="1"/>
  <c r="AL142" i="4019"/>
  <c r="AL144" i="4019" s="1"/>
  <c r="AL143" i="4019"/>
  <c r="AG143" i="4032"/>
  <c r="AG142" i="4032"/>
  <c r="AG144" i="4032" s="1"/>
  <c r="AJ142" i="4033"/>
  <c r="AJ144" i="4033" s="1"/>
  <c r="AJ143" i="4033"/>
  <c r="AR143" i="4020"/>
  <c r="AR142" i="4020"/>
  <c r="AR144" i="4020" s="1"/>
  <c r="AO142" i="4020"/>
  <c r="AO144" i="4020" s="1"/>
  <c r="AO143" i="4020"/>
  <c r="AF143" i="4020"/>
  <c r="AF142" i="4020"/>
  <c r="AF144" i="4020" s="1"/>
  <c r="AP142" i="4032"/>
  <c r="AP144" i="4032" s="1"/>
  <c r="AP143" i="4032"/>
  <c r="AI143" i="4019"/>
  <c r="AI142" i="4019"/>
  <c r="AI144" i="4019" s="1"/>
  <c r="AN142" i="4026"/>
  <c r="AN144" i="4026" s="1"/>
  <c r="AN143" i="4026"/>
  <c r="AN143" i="4028"/>
  <c r="AN142" i="4028"/>
  <c r="AN144" i="4028" s="1"/>
  <c r="AI142" i="4020"/>
  <c r="AI144" i="4020" s="1"/>
  <c r="AI143" i="4020"/>
  <c r="AJ142" i="4031"/>
  <c r="AJ144" i="4031" s="1"/>
  <c r="AJ143" i="4031"/>
  <c r="AR142" i="4018"/>
  <c r="AR144" i="4018" s="1"/>
  <c r="AR143" i="4018"/>
  <c r="W142" i="4020"/>
  <c r="W144" i="4020" s="1"/>
  <c r="W143" i="4020"/>
  <c r="AL142" i="4018"/>
  <c r="AL144" i="4018" s="1"/>
  <c r="AL143" i="4018"/>
  <c r="T143" i="4018"/>
  <c r="T142" i="4018"/>
  <c r="T144" i="4018" s="1"/>
  <c r="V142" i="4026"/>
  <c r="V144" i="4026" s="1"/>
  <c r="V143" i="4026"/>
  <c r="AM142" i="4030"/>
  <c r="AM144" i="4030" s="1"/>
  <c r="AM143" i="4030"/>
  <c r="P140" i="4030"/>
  <c r="N143" i="4036"/>
  <c r="N142" i="4036"/>
  <c r="N144" i="4036" s="1"/>
  <c r="K142" i="4021"/>
  <c r="K144" i="4021" s="1"/>
  <c r="K143" i="4021"/>
  <c r="K140" i="4033"/>
  <c r="AB143" i="4021"/>
  <c r="AI143" i="4026"/>
  <c r="P142" i="4018"/>
  <c r="P144" i="4018" s="1"/>
  <c r="P143" i="4018"/>
  <c r="AJ143" i="4030"/>
  <c r="AB142" i="4028"/>
  <c r="AB144" i="4028" s="1"/>
  <c r="AO143" i="4027"/>
  <c r="R140" i="4019"/>
  <c r="F140" i="4032"/>
  <c r="M142" i="4020"/>
  <c r="M144" i="4020" s="1"/>
  <c r="M143" i="4020"/>
  <c r="G140" i="4031"/>
  <c r="L142" i="4034"/>
  <c r="L144" i="4034" s="1"/>
  <c r="L143" i="4034"/>
  <c r="N142" i="4018"/>
  <c r="N144" i="4018" s="1"/>
  <c r="N143" i="4018"/>
  <c r="G140" i="4026"/>
  <c r="K140" i="4026"/>
  <c r="J142" i="4027"/>
  <c r="J144" i="4027" s="1"/>
  <c r="J143" i="4027"/>
  <c r="U142" i="4033"/>
  <c r="U144" i="4033" s="1"/>
  <c r="N142" i="4019"/>
  <c r="N144" i="4019" s="1"/>
  <c r="N143" i="4019"/>
  <c r="I142" i="4020"/>
  <c r="I144" i="4020" s="1"/>
  <c r="I143" i="4020"/>
  <c r="U142" i="4030"/>
  <c r="U144" i="4030" s="1"/>
  <c r="AQ142" i="4030"/>
  <c r="AQ144" i="4030" s="1"/>
  <c r="K140" i="4018"/>
  <c r="E144" i="4028"/>
  <c r="R142" i="4025"/>
  <c r="R144" i="4025" s="1"/>
  <c r="R143" i="4025"/>
  <c r="P140" i="4029"/>
  <c r="U142" i="4026"/>
  <c r="U144" i="4026" s="1"/>
  <c r="AD142" i="4030"/>
  <c r="AD144" i="4030" s="1"/>
  <c r="AQ142" i="4021"/>
  <c r="AQ144" i="4021" s="1"/>
  <c r="S140" i="4027"/>
  <c r="Y142" i="4029"/>
  <c r="Y144" i="4029" s="1"/>
  <c r="R140" i="4030"/>
  <c r="AK142" i="4030"/>
  <c r="AK144" i="4030" s="1"/>
  <c r="Z142" i="4031"/>
  <c r="Z144" i="4031" s="1"/>
  <c r="M140" i="4030"/>
  <c r="E140" i="4033"/>
  <c r="P140" i="4026"/>
  <c r="Y142" i="4021"/>
  <c r="Y144" i="4021" s="1"/>
  <c r="G143" i="4021"/>
  <c r="G142" i="4021"/>
  <c r="G144" i="4021" s="1"/>
  <c r="H143" i="4019"/>
  <c r="H142" i="4019"/>
  <c r="H144" i="4019" s="1"/>
  <c r="AQ142" i="4019"/>
  <c r="AQ144" i="4019" s="1"/>
  <c r="K142" i="4019"/>
  <c r="K144" i="4019" s="1"/>
  <c r="K143" i="4019"/>
  <c r="Q142" i="4031"/>
  <c r="Q144" i="4031" s="1"/>
  <c r="Q143" i="4031"/>
  <c r="Z142" i="4026"/>
  <c r="Z144" i="4026" s="1"/>
  <c r="AR142" i="4026"/>
  <c r="AR144" i="4026" s="1"/>
  <c r="N142" i="4035"/>
  <c r="N144" i="4035" s="1"/>
  <c r="N143" i="4035"/>
  <c r="AL142" i="4026"/>
  <c r="AL144" i="4026" s="1"/>
  <c r="E140" i="4020"/>
  <c r="AI142" i="4018"/>
  <c r="AI144" i="4018" s="1"/>
  <c r="M140" i="4028"/>
  <c r="AN142" i="4029"/>
  <c r="AN144" i="4029" s="1"/>
  <c r="N140" i="4030"/>
  <c r="Q140" i="4028"/>
  <c r="AI143" i="4028"/>
  <c r="P140" i="4031"/>
  <c r="AC142" i="4031"/>
  <c r="AC144" i="4031" s="1"/>
  <c r="J142" i="4020"/>
  <c r="J144" i="4020" s="1"/>
  <c r="J143" i="4020"/>
  <c r="O140" i="4031"/>
  <c r="AE142" i="4031"/>
  <c r="AE144" i="4031" s="1"/>
  <c r="O142" i="4022"/>
  <c r="O144" i="4022" s="1"/>
  <c r="O143" i="4022"/>
  <c r="J142" i="4030"/>
  <c r="J144" i="4030" s="1"/>
  <c r="J143" i="4030"/>
  <c r="R140" i="4033"/>
  <c r="H140" i="4021"/>
  <c r="M140" i="4027"/>
  <c r="S140" i="4030"/>
  <c r="P140" i="4021"/>
  <c r="E142" i="4021"/>
  <c r="E143" i="4021"/>
  <c r="Q142" i="4035"/>
  <c r="Q144" i="4035" s="1"/>
  <c r="Q143" i="4035"/>
  <c r="L142" i="4030"/>
  <c r="L144" i="4030" s="1"/>
  <c r="L143" i="4030"/>
  <c r="S140" i="4033"/>
  <c r="H142" i="4031"/>
  <c r="H144" i="4031" s="1"/>
  <c r="H143" i="4031"/>
  <c r="E144" i="4032"/>
  <c r="J143" i="4033"/>
  <c r="J142" i="4033"/>
  <c r="J144" i="4033" s="1"/>
  <c r="E143" i="4030"/>
  <c r="E142" i="4030"/>
  <c r="E143" i="4029"/>
  <c r="E142" i="4029"/>
  <c r="Q143" i="4027"/>
  <c r="Q142" i="4027"/>
  <c r="Q144" i="4027" s="1"/>
  <c r="F143" i="4031"/>
  <c r="F142" i="4031"/>
  <c r="F144" i="4031" s="1"/>
  <c r="Q140" i="4021"/>
  <c r="E140" i="4026"/>
  <c r="G140" i="4030"/>
  <c r="H140" i="4028"/>
  <c r="M140" i="4026"/>
  <c r="G143" i="4029"/>
  <c r="G142" i="4029"/>
  <c r="G144" i="4029" s="1"/>
  <c r="M143" i="4019"/>
  <c r="M142" i="4019"/>
  <c r="M144" i="4019" s="1"/>
  <c r="S143" i="4029"/>
  <c r="S142" i="4029"/>
  <c r="S144" i="4029" s="1"/>
  <c r="S143" i="4020"/>
  <c r="S142" i="4020"/>
  <c r="S144" i="4020" s="1"/>
  <c r="J143" i="4029"/>
  <c r="J142" i="4029"/>
  <c r="J144" i="4029" s="1"/>
  <c r="L143" i="4019"/>
  <c r="L142" i="4019"/>
  <c r="L144" i="4019" s="1"/>
  <c r="Q142" i="4020"/>
  <c r="Q144" i="4020" s="1"/>
  <c r="Q143" i="4020"/>
  <c r="M142" i="4033"/>
  <c r="M144" i="4033" s="1"/>
  <c r="M143" i="4033"/>
  <c r="S140" i="4021"/>
  <c r="M140" i="4021"/>
  <c r="I140" i="4019"/>
  <c r="R140" i="4029"/>
  <c r="E140" i="4027"/>
  <c r="E144" i="4034"/>
  <c r="I140" i="4031"/>
  <c r="Q142" i="4018"/>
  <c r="Q144" i="4018" s="1"/>
  <c r="Q143" i="4018"/>
  <c r="E144" i="4025"/>
  <c r="K140" i="4030"/>
  <c r="F140" i="4026"/>
  <c r="L140" i="4026"/>
  <c r="J140" i="4019"/>
  <c r="H140" i="4026"/>
  <c r="N140" i="4033"/>
  <c r="S142" i="4018"/>
  <c r="S144" i="4018" s="1"/>
  <c r="S143" i="4018"/>
  <c r="R140" i="4020"/>
  <c r="I142" i="4030"/>
  <c r="I144" i="4030" s="1"/>
  <c r="I143" i="4030"/>
  <c r="I142" i="4026"/>
  <c r="I144" i="4026" s="1"/>
  <c r="I143" i="4026"/>
  <c r="G142" i="4019"/>
  <c r="G144" i="4019" s="1"/>
  <c r="G143" i="4019"/>
  <c r="S143" i="4028"/>
  <c r="S142" i="4028"/>
  <c r="S144" i="4028" s="1"/>
  <c r="Q140" i="4026"/>
  <c r="I143" i="4025"/>
  <c r="I142" i="4025"/>
  <c r="R142" i="4022"/>
  <c r="R144" i="4022" s="1"/>
  <c r="R143" i="4022"/>
  <c r="R142" i="4024"/>
  <c r="R144" i="4024" s="1"/>
  <c r="R143" i="4024"/>
  <c r="K140" i="4031"/>
  <c r="J140" i="4021"/>
  <c r="F142" i="4022"/>
  <c r="F144" i="4022" s="1"/>
  <c r="F143" i="4022"/>
  <c r="L140" i="4033"/>
  <c r="E144" i="4018"/>
  <c r="M142" i="4031"/>
  <c r="M144" i="4031" s="1"/>
  <c r="M143" i="4031"/>
  <c r="I143" i="4022"/>
  <c r="I142" i="4022"/>
  <c r="I144" i="4022" s="1"/>
  <c r="M140" i="4029"/>
  <c r="I143" i="4033"/>
  <c r="I142" i="4033"/>
  <c r="I144" i="4033" s="1"/>
  <c r="H140" i="4018"/>
  <c r="R140" i="4026"/>
  <c r="R140" i="4031"/>
  <c r="Q143" i="4019"/>
  <c r="Q142" i="4019"/>
  <c r="Q144" i="4019" s="1"/>
  <c r="N143" i="4027"/>
  <c r="N142" i="4027"/>
  <c r="N144" i="4027" s="1"/>
  <c r="O142" i="4032"/>
  <c r="O144" i="4032" s="1"/>
  <c r="O143" i="4032"/>
  <c r="O143" i="4025"/>
  <c r="O142" i="4025"/>
  <c r="O144" i="4025" s="1"/>
  <c r="E142" i="4031"/>
  <c r="E143" i="4031"/>
  <c r="E142" i="4024"/>
  <c r="E143" i="4024"/>
  <c r="S140" i="4019"/>
  <c r="E143" i="4036"/>
  <c r="E142" i="4036"/>
  <c r="E140" i="4019"/>
  <c r="O140" i="4026"/>
  <c r="F142" i="4024"/>
  <c r="F144" i="4024" s="1"/>
  <c r="F143" i="4024"/>
  <c r="E143" i="4035"/>
  <c r="E142" i="4035"/>
  <c r="H140" i="4020"/>
  <c r="N140" i="4020"/>
  <c r="E142" i="4023"/>
  <c r="E143" i="4023"/>
  <c r="C155" i="4023" s="1"/>
  <c r="K142" i="4036"/>
  <c r="K144" i="4036" s="1"/>
  <c r="K143" i="4036"/>
  <c r="E144" i="4022"/>
  <c r="C155" i="4034" l="1"/>
  <c r="C156" i="4034"/>
  <c r="C150" i="4022"/>
  <c r="C155" i="4022"/>
  <c r="I144" i="4025"/>
  <c r="C156" i="4025" s="1"/>
  <c r="C150" i="4025"/>
  <c r="C5" i="4025" s="1"/>
  <c r="S147" i="4025" s="1"/>
  <c r="C155" i="4025"/>
  <c r="C155" i="4036"/>
  <c r="C155" i="4024"/>
  <c r="R143" i="4020"/>
  <c r="R142" i="4020"/>
  <c r="R144" i="4020" s="1"/>
  <c r="N143" i="4033"/>
  <c r="N142" i="4033"/>
  <c r="N144" i="4033" s="1"/>
  <c r="H143" i="4026"/>
  <c r="H142" i="4026"/>
  <c r="H144" i="4026" s="1"/>
  <c r="L143" i="4026"/>
  <c r="L142" i="4026"/>
  <c r="L144" i="4026" s="1"/>
  <c r="C150" i="4035"/>
  <c r="C5" i="4035" s="1"/>
  <c r="E144" i="4035"/>
  <c r="C156" i="4035" s="1"/>
  <c r="E142" i="4019"/>
  <c r="E143" i="4019"/>
  <c r="E143" i="4027"/>
  <c r="E142" i="4027"/>
  <c r="M143" i="4021"/>
  <c r="M142" i="4021"/>
  <c r="M144" i="4021" s="1"/>
  <c r="G143" i="4030"/>
  <c r="G142" i="4030"/>
  <c r="G144" i="4030" s="1"/>
  <c r="Q143" i="4021"/>
  <c r="Q142" i="4021"/>
  <c r="Q144" i="4021" s="1"/>
  <c r="E144" i="4029"/>
  <c r="E144" i="4030"/>
  <c r="S143" i="4033"/>
  <c r="S142" i="4033"/>
  <c r="S144" i="4033" s="1"/>
  <c r="E144" i="4021"/>
  <c r="R143" i="4033"/>
  <c r="R142" i="4033"/>
  <c r="R144" i="4033" s="1"/>
  <c r="N142" i="4030"/>
  <c r="N144" i="4030" s="1"/>
  <c r="N143" i="4030"/>
  <c r="P142" i="4026"/>
  <c r="P144" i="4026" s="1"/>
  <c r="P143" i="4026"/>
  <c r="K142" i="4026"/>
  <c r="K144" i="4026" s="1"/>
  <c r="K143" i="4026"/>
  <c r="C150" i="4023"/>
  <c r="C5" i="4023" s="1"/>
  <c r="E144" i="4023"/>
  <c r="C156" i="4023" s="1"/>
  <c r="H142" i="4020"/>
  <c r="H144" i="4020" s="1"/>
  <c r="H143" i="4020"/>
  <c r="C155" i="4035"/>
  <c r="O142" i="4026"/>
  <c r="O144" i="4026" s="1"/>
  <c r="O143" i="4026"/>
  <c r="S142" i="4019"/>
  <c r="S144" i="4019" s="1"/>
  <c r="S143" i="4019"/>
  <c r="C150" i="4024"/>
  <c r="C5" i="4024" s="1"/>
  <c r="E144" i="4024"/>
  <c r="C156" i="4024" s="1"/>
  <c r="H142" i="4018"/>
  <c r="H143" i="4018"/>
  <c r="L142" i="4033"/>
  <c r="L144" i="4033" s="1"/>
  <c r="L143" i="4033"/>
  <c r="K143" i="4031"/>
  <c r="K142" i="4031"/>
  <c r="K144" i="4031" s="1"/>
  <c r="Q143" i="4026"/>
  <c r="Q142" i="4026"/>
  <c r="Q144" i="4026" s="1"/>
  <c r="J143" i="4019"/>
  <c r="J142" i="4019"/>
  <c r="J144" i="4019" s="1"/>
  <c r="K143" i="4030"/>
  <c r="K142" i="4030"/>
  <c r="K144" i="4030" s="1"/>
  <c r="I143" i="4031"/>
  <c r="I142" i="4031"/>
  <c r="I144" i="4031" s="1"/>
  <c r="C150" i="4034"/>
  <c r="C5" i="4034" s="1"/>
  <c r="R143" i="4029"/>
  <c r="R142" i="4029"/>
  <c r="R144" i="4029" s="1"/>
  <c r="I143" i="4019"/>
  <c r="I142" i="4019"/>
  <c r="I144" i="4019" s="1"/>
  <c r="M143" i="4026"/>
  <c r="M142" i="4026"/>
  <c r="M144" i="4026" s="1"/>
  <c r="H142" i="4028"/>
  <c r="H143" i="4028"/>
  <c r="S142" i="4030"/>
  <c r="S144" i="4030" s="1"/>
  <c r="S143" i="4030"/>
  <c r="H142" i="4021"/>
  <c r="H144" i="4021" s="1"/>
  <c r="H143" i="4021"/>
  <c r="O142" i="4031"/>
  <c r="O144" i="4031" s="1"/>
  <c r="O143" i="4031"/>
  <c r="P142" i="4031"/>
  <c r="P144" i="4031" s="1"/>
  <c r="P143" i="4031"/>
  <c r="Q143" i="4028"/>
  <c r="Q142" i="4028"/>
  <c r="Q144" i="4028" s="1"/>
  <c r="E142" i="4020"/>
  <c r="E143" i="4020"/>
  <c r="K142" i="4018"/>
  <c r="K144" i="4018" s="1"/>
  <c r="K143" i="4018"/>
  <c r="G142" i="4026"/>
  <c r="G144" i="4026" s="1"/>
  <c r="G143" i="4026"/>
  <c r="K142" i="4033"/>
  <c r="K144" i="4033" s="1"/>
  <c r="K143" i="4033"/>
  <c r="E144" i="4031"/>
  <c r="R142" i="4031"/>
  <c r="R144" i="4031" s="1"/>
  <c r="R143" i="4031"/>
  <c r="M142" i="4029"/>
  <c r="M144" i="4029" s="1"/>
  <c r="M143" i="4029"/>
  <c r="J143" i="4021"/>
  <c r="J142" i="4021"/>
  <c r="J144" i="4021" s="1"/>
  <c r="C156" i="4022"/>
  <c r="N142" i="4020"/>
  <c r="N144" i="4020" s="1"/>
  <c r="N143" i="4020"/>
  <c r="C150" i="4036"/>
  <c r="C5" i="4036" s="1"/>
  <c r="E144" i="4036"/>
  <c r="C156" i="4036" s="1"/>
  <c r="R142" i="4026"/>
  <c r="R144" i="4026" s="1"/>
  <c r="R143" i="4026"/>
  <c r="F143" i="4026"/>
  <c r="F142" i="4026"/>
  <c r="F144" i="4026" s="1"/>
  <c r="S143" i="4021"/>
  <c r="S142" i="4021"/>
  <c r="S144" i="4021" s="1"/>
  <c r="E143" i="4026"/>
  <c r="E142" i="4026"/>
  <c r="P143" i="4021"/>
  <c r="P142" i="4021"/>
  <c r="P144" i="4021" s="1"/>
  <c r="M143" i="4027"/>
  <c r="M142" i="4027"/>
  <c r="M144" i="4027" s="1"/>
  <c r="M143" i="4028"/>
  <c r="M142" i="4028"/>
  <c r="M144" i="4028" s="1"/>
  <c r="E142" i="4033"/>
  <c r="E143" i="4033"/>
  <c r="M142" i="4030"/>
  <c r="M144" i="4030" s="1"/>
  <c r="M143" i="4030"/>
  <c r="R142" i="4030"/>
  <c r="R144" i="4030" s="1"/>
  <c r="R143" i="4030"/>
  <c r="S142" i="4027"/>
  <c r="S144" i="4027" s="1"/>
  <c r="S143" i="4027"/>
  <c r="P142" i="4029"/>
  <c r="P144" i="4029" s="1"/>
  <c r="P143" i="4029"/>
  <c r="G143" i="4031"/>
  <c r="G142" i="4031"/>
  <c r="G144" i="4031" s="1"/>
  <c r="F142" i="4032"/>
  <c r="F143" i="4032"/>
  <c r="C155" i="4032" s="1"/>
  <c r="R142" i="4019"/>
  <c r="R144" i="4019" s="1"/>
  <c r="R143" i="4019"/>
  <c r="P142" i="4030"/>
  <c r="P144" i="4030" s="1"/>
  <c r="P143" i="4030"/>
  <c r="I147" i="4025" l="1"/>
  <c r="O147" i="4025"/>
  <c r="N147" i="4025"/>
  <c r="Q147" i="4025"/>
  <c r="K147" i="4025"/>
  <c r="M147" i="4025"/>
  <c r="H147" i="4025"/>
  <c r="E146" i="4025"/>
  <c r="F146" i="4025" s="1"/>
  <c r="C5" i="4022"/>
  <c r="C155" i="4026"/>
  <c r="R147" i="4025"/>
  <c r="L147" i="4025"/>
  <c r="P147" i="4025"/>
  <c r="C155" i="4031"/>
  <c r="J147" i="4025"/>
  <c r="F147" i="4025"/>
  <c r="E147" i="4025"/>
  <c r="G147" i="4025"/>
  <c r="C155" i="4021"/>
  <c r="C155" i="4020"/>
  <c r="C155" i="4030"/>
  <c r="C155" i="4029"/>
  <c r="E146" i="4036"/>
  <c r="S147" i="4036"/>
  <c r="L147" i="4036"/>
  <c r="Q147" i="4036"/>
  <c r="G147" i="4036"/>
  <c r="R147" i="4036"/>
  <c r="J147" i="4036"/>
  <c r="I147" i="4036"/>
  <c r="H147" i="4036"/>
  <c r="P147" i="4036"/>
  <c r="F147" i="4036"/>
  <c r="M147" i="4036"/>
  <c r="O147" i="4036"/>
  <c r="K147" i="4036"/>
  <c r="E147" i="4036"/>
  <c r="N147" i="4036"/>
  <c r="C150" i="4030"/>
  <c r="C5" i="4030" s="1"/>
  <c r="C150" i="4027"/>
  <c r="C5" i="4027" s="1"/>
  <c r="E144" i="4027"/>
  <c r="C156" i="4027" s="1"/>
  <c r="C150" i="4019"/>
  <c r="C5" i="4019" s="1"/>
  <c r="E144" i="4019"/>
  <c r="C156" i="4019" s="1"/>
  <c r="C150" i="4033"/>
  <c r="C5" i="4033" s="1"/>
  <c r="E144" i="4033"/>
  <c r="C156" i="4033" s="1"/>
  <c r="C155" i="4028"/>
  <c r="F144" i="4032"/>
  <c r="C156" i="4032" s="1"/>
  <c r="C150" i="4032"/>
  <c r="C5" i="4032" s="1"/>
  <c r="C155" i="4033"/>
  <c r="C150" i="4026"/>
  <c r="C5" i="4026" s="1"/>
  <c r="E144" i="4026"/>
  <c r="C156" i="4026" s="1"/>
  <c r="C156" i="4031"/>
  <c r="C150" i="4020"/>
  <c r="C5" i="4020" s="1"/>
  <c r="E144" i="4020"/>
  <c r="C156" i="4020" s="1"/>
  <c r="H144" i="4028"/>
  <c r="C156" i="4028" s="1"/>
  <c r="C150" i="4028"/>
  <c r="C5" i="4028" s="1"/>
  <c r="C155" i="4018"/>
  <c r="E146" i="4024"/>
  <c r="Q147" i="4024"/>
  <c r="G147" i="4024"/>
  <c r="N147" i="4024"/>
  <c r="K147" i="4024"/>
  <c r="P147" i="4024"/>
  <c r="J147" i="4024"/>
  <c r="O147" i="4024"/>
  <c r="I147" i="4024"/>
  <c r="M147" i="4024"/>
  <c r="H147" i="4024"/>
  <c r="S147" i="4024"/>
  <c r="L147" i="4024"/>
  <c r="E147" i="4024"/>
  <c r="F147" i="4024"/>
  <c r="R147" i="4024"/>
  <c r="E146" i="4023"/>
  <c r="J147" i="4023"/>
  <c r="Q147" i="4023"/>
  <c r="S147" i="4023"/>
  <c r="O147" i="4023"/>
  <c r="R147" i="4023"/>
  <c r="I147" i="4023"/>
  <c r="L147" i="4023"/>
  <c r="N147" i="4023"/>
  <c r="G147" i="4023"/>
  <c r="P147" i="4023"/>
  <c r="F147" i="4023"/>
  <c r="M147" i="4023"/>
  <c r="K147" i="4023"/>
  <c r="H147" i="4023"/>
  <c r="E147" i="4023"/>
  <c r="C156" i="4021"/>
  <c r="C156" i="4029"/>
  <c r="C155" i="4027"/>
  <c r="C150" i="4031"/>
  <c r="C5" i="4031" s="1"/>
  <c r="E146" i="4034"/>
  <c r="H147" i="4034"/>
  <c r="S147" i="4034"/>
  <c r="R147" i="4034"/>
  <c r="Q147" i="4034"/>
  <c r="E147" i="4034"/>
  <c r="J147" i="4034"/>
  <c r="N147" i="4034"/>
  <c r="P147" i="4034"/>
  <c r="F147" i="4034"/>
  <c r="M147" i="4034"/>
  <c r="K147" i="4034"/>
  <c r="G147" i="4034"/>
  <c r="I147" i="4034"/>
  <c r="O147" i="4034"/>
  <c r="L147" i="4034"/>
  <c r="H144" i="4018"/>
  <c r="C156" i="4018" s="1"/>
  <c r="C150" i="4018"/>
  <c r="C5" i="4018" s="1"/>
  <c r="C150" i="4021"/>
  <c r="C5" i="4021" s="1"/>
  <c r="C156" i="4030"/>
  <c r="C150" i="4029"/>
  <c r="C5" i="4029" s="1"/>
  <c r="C155" i="4019"/>
  <c r="E146" i="4035"/>
  <c r="G147" i="4035"/>
  <c r="R147" i="4035"/>
  <c r="K147" i="4035"/>
  <c r="M147" i="4035"/>
  <c r="J147" i="4035"/>
  <c r="P147" i="4035"/>
  <c r="L147" i="4035"/>
  <c r="I147" i="4035"/>
  <c r="O147" i="4035"/>
  <c r="S147" i="4035"/>
  <c r="H147" i="4035"/>
  <c r="F147" i="4035"/>
  <c r="Q147" i="4035"/>
  <c r="N147" i="4035"/>
  <c r="E147" i="4035"/>
  <c r="E147" i="4021" l="1"/>
  <c r="K147" i="4022"/>
  <c r="C153" i="4025"/>
  <c r="N147" i="4022"/>
  <c r="H147" i="4022"/>
  <c r="L147" i="4022"/>
  <c r="Q147" i="4022"/>
  <c r="J147" i="4022"/>
  <c r="E147" i="4022"/>
  <c r="P147" i="4022"/>
  <c r="O147" i="4022"/>
  <c r="E146" i="4022"/>
  <c r="F146" i="4022" s="1"/>
  <c r="G146" i="4022" s="1"/>
  <c r="H146" i="4022" s="1"/>
  <c r="I146" i="4022" s="1"/>
  <c r="J146" i="4022" s="1"/>
  <c r="K146" i="4022" s="1"/>
  <c r="L146" i="4022" s="1"/>
  <c r="M146" i="4022" s="1"/>
  <c r="N146" i="4022" s="1"/>
  <c r="O146" i="4022" s="1"/>
  <c r="P146" i="4022" s="1"/>
  <c r="Q146" i="4022" s="1"/>
  <c r="R146" i="4022" s="1"/>
  <c r="S146" i="4022" s="1"/>
  <c r="T146" i="4022" s="1"/>
  <c r="U146" i="4022" s="1"/>
  <c r="V146" i="4022" s="1"/>
  <c r="W146" i="4022" s="1"/>
  <c r="X146" i="4022" s="1"/>
  <c r="Y146" i="4022" s="1"/>
  <c r="Z146" i="4022" s="1"/>
  <c r="AA146" i="4022" s="1"/>
  <c r="AB146" i="4022" s="1"/>
  <c r="AC146" i="4022" s="1"/>
  <c r="AD146" i="4022" s="1"/>
  <c r="AE146" i="4022" s="1"/>
  <c r="AF146" i="4022" s="1"/>
  <c r="AG146" i="4022" s="1"/>
  <c r="AH146" i="4022" s="1"/>
  <c r="AI146" i="4022" s="1"/>
  <c r="AJ146" i="4022" s="1"/>
  <c r="AK146" i="4022" s="1"/>
  <c r="AL146" i="4022" s="1"/>
  <c r="AM146" i="4022" s="1"/>
  <c r="AN146" i="4022" s="1"/>
  <c r="AO146" i="4022" s="1"/>
  <c r="AP146" i="4022" s="1"/>
  <c r="AQ146" i="4022" s="1"/>
  <c r="AR146" i="4022" s="1"/>
  <c r="I147" i="4022"/>
  <c r="G147" i="4022"/>
  <c r="F147" i="4022"/>
  <c r="M147" i="4022"/>
  <c r="R147" i="4022"/>
  <c r="S147" i="4022"/>
  <c r="C153" i="4023"/>
  <c r="G146" i="4025"/>
  <c r="H146" i="4025" s="1"/>
  <c r="I146" i="4025" s="1"/>
  <c r="J146" i="4025" s="1"/>
  <c r="K146" i="4025" s="1"/>
  <c r="L146" i="4025" s="1"/>
  <c r="M146" i="4025" s="1"/>
  <c r="N146" i="4025" s="1"/>
  <c r="O146" i="4025" s="1"/>
  <c r="P146" i="4025" s="1"/>
  <c r="Q146" i="4025" s="1"/>
  <c r="R146" i="4025" s="1"/>
  <c r="S146" i="4025" s="1"/>
  <c r="T146" i="4025" s="1"/>
  <c r="U146" i="4025" s="1"/>
  <c r="V146" i="4025" s="1"/>
  <c r="W146" i="4025" s="1"/>
  <c r="X146" i="4025" s="1"/>
  <c r="Y146" i="4025" s="1"/>
  <c r="Z146" i="4025" s="1"/>
  <c r="AA146" i="4025" s="1"/>
  <c r="AB146" i="4025" s="1"/>
  <c r="AC146" i="4025" s="1"/>
  <c r="AD146" i="4025" s="1"/>
  <c r="AE146" i="4025" s="1"/>
  <c r="AF146" i="4025" s="1"/>
  <c r="AG146" i="4025" s="1"/>
  <c r="AH146" i="4025" s="1"/>
  <c r="AI146" i="4025" s="1"/>
  <c r="AJ146" i="4025" s="1"/>
  <c r="AK146" i="4025" s="1"/>
  <c r="AL146" i="4025" s="1"/>
  <c r="AM146" i="4025" s="1"/>
  <c r="AN146" i="4025" s="1"/>
  <c r="AO146" i="4025" s="1"/>
  <c r="AP146" i="4025" s="1"/>
  <c r="AQ146" i="4025" s="1"/>
  <c r="AR146" i="4025" s="1"/>
  <c r="C153" i="4036"/>
  <c r="E146" i="4031"/>
  <c r="N147" i="4031"/>
  <c r="J147" i="4031"/>
  <c r="S147" i="4031"/>
  <c r="L147" i="4031"/>
  <c r="F147" i="4031"/>
  <c r="H147" i="4031"/>
  <c r="Q147" i="4031"/>
  <c r="M147" i="4031"/>
  <c r="E147" i="4031"/>
  <c r="O147" i="4031"/>
  <c r="I147" i="4031"/>
  <c r="K147" i="4031"/>
  <c r="G147" i="4031"/>
  <c r="R147" i="4031"/>
  <c r="P147" i="4031"/>
  <c r="F146" i="4023"/>
  <c r="C153" i="4024"/>
  <c r="E146" i="4032"/>
  <c r="N147" i="4032"/>
  <c r="P147" i="4032"/>
  <c r="I147" i="4032"/>
  <c r="J147" i="4032"/>
  <c r="L147" i="4032"/>
  <c r="G147" i="4032"/>
  <c r="S147" i="4032"/>
  <c r="H147" i="4032"/>
  <c r="K147" i="4032"/>
  <c r="M147" i="4032"/>
  <c r="R147" i="4032"/>
  <c r="Q147" i="4032"/>
  <c r="E147" i="4032"/>
  <c r="O147" i="4032"/>
  <c r="F147" i="4032"/>
  <c r="C153" i="4035"/>
  <c r="F146" i="4035"/>
  <c r="E146" i="4029"/>
  <c r="K147" i="4029"/>
  <c r="O147" i="4029"/>
  <c r="Q147" i="4029"/>
  <c r="I147" i="4029"/>
  <c r="H147" i="4029"/>
  <c r="F147" i="4029"/>
  <c r="L147" i="4029"/>
  <c r="N147" i="4029"/>
  <c r="E147" i="4029"/>
  <c r="J147" i="4029"/>
  <c r="S147" i="4029"/>
  <c r="G147" i="4029"/>
  <c r="R147" i="4029"/>
  <c r="M147" i="4029"/>
  <c r="P147" i="4029"/>
  <c r="E146" i="4018"/>
  <c r="I147" i="4018"/>
  <c r="L147" i="4018"/>
  <c r="R147" i="4018"/>
  <c r="J147" i="4018"/>
  <c r="F147" i="4018"/>
  <c r="O147" i="4018"/>
  <c r="M147" i="4018"/>
  <c r="G147" i="4018"/>
  <c r="E147" i="4018"/>
  <c r="S147" i="4018"/>
  <c r="Q147" i="4018"/>
  <c r="N147" i="4018"/>
  <c r="P147" i="4018"/>
  <c r="K147" i="4018"/>
  <c r="H147" i="4018"/>
  <c r="C153" i="4034"/>
  <c r="F146" i="4024"/>
  <c r="E146" i="4028"/>
  <c r="P147" i="4028"/>
  <c r="F147" i="4028"/>
  <c r="N147" i="4028"/>
  <c r="G147" i="4028"/>
  <c r="L147" i="4028"/>
  <c r="R147" i="4028"/>
  <c r="I147" i="4028"/>
  <c r="O147" i="4028"/>
  <c r="E147" i="4028"/>
  <c r="K147" i="4028"/>
  <c r="J147" i="4028"/>
  <c r="S147" i="4028"/>
  <c r="M147" i="4028"/>
  <c r="Q147" i="4028"/>
  <c r="H147" i="4028"/>
  <c r="E146" i="4020"/>
  <c r="O147" i="4020"/>
  <c r="K147" i="4020"/>
  <c r="P147" i="4020"/>
  <c r="G147" i="4020"/>
  <c r="F147" i="4020"/>
  <c r="L147" i="4020"/>
  <c r="Q147" i="4020"/>
  <c r="S147" i="4020"/>
  <c r="I147" i="4020"/>
  <c r="M147" i="4020"/>
  <c r="J147" i="4020"/>
  <c r="E147" i="4020"/>
  <c r="R147" i="4020"/>
  <c r="H147" i="4020"/>
  <c r="N147" i="4020"/>
  <c r="E146" i="4026"/>
  <c r="S147" i="4026"/>
  <c r="J147" i="4026"/>
  <c r="N147" i="4026"/>
  <c r="I147" i="4026"/>
  <c r="G147" i="4026"/>
  <c r="K147" i="4026"/>
  <c r="M147" i="4026"/>
  <c r="H147" i="4026"/>
  <c r="O147" i="4026"/>
  <c r="Q147" i="4026"/>
  <c r="R147" i="4026"/>
  <c r="P147" i="4026"/>
  <c r="E147" i="4026"/>
  <c r="L147" i="4026"/>
  <c r="F147" i="4026"/>
  <c r="E146" i="4033"/>
  <c r="H147" i="4033"/>
  <c r="O147" i="4033"/>
  <c r="P147" i="4033"/>
  <c r="F147" i="4033"/>
  <c r="Q147" i="4033"/>
  <c r="G147" i="4033"/>
  <c r="M147" i="4033"/>
  <c r="I147" i="4033"/>
  <c r="J147" i="4033"/>
  <c r="K147" i="4033"/>
  <c r="S147" i="4033"/>
  <c r="L147" i="4033"/>
  <c r="R147" i="4033"/>
  <c r="N147" i="4033"/>
  <c r="E147" i="4033"/>
  <c r="E146" i="4019"/>
  <c r="P147" i="4019"/>
  <c r="O147" i="4019"/>
  <c r="F147" i="4019"/>
  <c r="G147" i="4019"/>
  <c r="M147" i="4019"/>
  <c r="K147" i="4019"/>
  <c r="H147" i="4019"/>
  <c r="N147" i="4019"/>
  <c r="L147" i="4019"/>
  <c r="Q147" i="4019"/>
  <c r="J147" i="4019"/>
  <c r="S147" i="4019"/>
  <c r="R147" i="4019"/>
  <c r="E147" i="4019"/>
  <c r="I147" i="4019"/>
  <c r="E146" i="4030"/>
  <c r="H147" i="4030"/>
  <c r="O147" i="4030"/>
  <c r="Q147" i="4030"/>
  <c r="F147" i="4030"/>
  <c r="J147" i="4030"/>
  <c r="I147" i="4030"/>
  <c r="E147" i="4030"/>
  <c r="L147" i="4030"/>
  <c r="G147" i="4030"/>
  <c r="K147" i="4030"/>
  <c r="P147" i="4030"/>
  <c r="M147" i="4030"/>
  <c r="N147" i="4030"/>
  <c r="R147" i="4030"/>
  <c r="S147" i="4030"/>
  <c r="F146" i="4036"/>
  <c r="E146" i="4021"/>
  <c r="O147" i="4021"/>
  <c r="F147" i="4021"/>
  <c r="N147" i="4021"/>
  <c r="L147" i="4021"/>
  <c r="R147" i="4021"/>
  <c r="I147" i="4021"/>
  <c r="G147" i="4021"/>
  <c r="K147" i="4021"/>
  <c r="H147" i="4021"/>
  <c r="M147" i="4021"/>
  <c r="J147" i="4021"/>
  <c r="P147" i="4021"/>
  <c r="Q147" i="4021"/>
  <c r="S147" i="4021"/>
  <c r="F146" i="4034"/>
  <c r="E146" i="4027"/>
  <c r="I147" i="4027"/>
  <c r="L147" i="4027"/>
  <c r="G147" i="4027"/>
  <c r="O147" i="4027"/>
  <c r="F147" i="4027"/>
  <c r="P147" i="4027"/>
  <c r="K147" i="4027"/>
  <c r="H147" i="4027"/>
  <c r="R147" i="4027"/>
  <c r="N147" i="4027"/>
  <c r="J147" i="4027"/>
  <c r="Q147" i="4027"/>
  <c r="E147" i="4027"/>
  <c r="S147" i="4027"/>
  <c r="M147" i="4027"/>
  <c r="C153" i="4022" l="1"/>
  <c r="C161" i="4025"/>
  <c r="C161" i="4022"/>
  <c r="G146" i="4034"/>
  <c r="H146" i="4034" s="1"/>
  <c r="I146" i="4034" s="1"/>
  <c r="J146" i="4034" s="1"/>
  <c r="K146" i="4034" s="1"/>
  <c r="L146" i="4034" s="1"/>
  <c r="M146" i="4034" s="1"/>
  <c r="N146" i="4034" s="1"/>
  <c r="O146" i="4034" s="1"/>
  <c r="P146" i="4034" s="1"/>
  <c r="Q146" i="4034" s="1"/>
  <c r="R146" i="4034" s="1"/>
  <c r="S146" i="4034" s="1"/>
  <c r="T146" i="4034" s="1"/>
  <c r="U146" i="4034" s="1"/>
  <c r="V146" i="4034" s="1"/>
  <c r="W146" i="4034" s="1"/>
  <c r="X146" i="4034" s="1"/>
  <c r="Y146" i="4034" s="1"/>
  <c r="Z146" i="4034" s="1"/>
  <c r="AA146" i="4034" s="1"/>
  <c r="AB146" i="4034" s="1"/>
  <c r="AC146" i="4034" s="1"/>
  <c r="AD146" i="4034" s="1"/>
  <c r="AE146" i="4034" s="1"/>
  <c r="AF146" i="4034" s="1"/>
  <c r="AG146" i="4034" s="1"/>
  <c r="AH146" i="4034" s="1"/>
  <c r="AI146" i="4034" s="1"/>
  <c r="AJ146" i="4034" s="1"/>
  <c r="AK146" i="4034" s="1"/>
  <c r="AL146" i="4034" s="1"/>
  <c r="AM146" i="4034" s="1"/>
  <c r="AN146" i="4034" s="1"/>
  <c r="AO146" i="4034" s="1"/>
  <c r="AP146" i="4034" s="1"/>
  <c r="AQ146" i="4034" s="1"/>
  <c r="AR146" i="4034" s="1"/>
  <c r="G146" i="4036"/>
  <c r="H146" i="4036" s="1"/>
  <c r="I146" i="4036" s="1"/>
  <c r="J146" i="4036" s="1"/>
  <c r="K146" i="4036" s="1"/>
  <c r="L146" i="4036" s="1"/>
  <c r="M146" i="4036" s="1"/>
  <c r="N146" i="4036" s="1"/>
  <c r="O146" i="4036" s="1"/>
  <c r="P146" i="4036" s="1"/>
  <c r="Q146" i="4036" s="1"/>
  <c r="R146" i="4036" s="1"/>
  <c r="S146" i="4036" s="1"/>
  <c r="T146" i="4036" s="1"/>
  <c r="U146" i="4036" s="1"/>
  <c r="V146" i="4036" s="1"/>
  <c r="W146" i="4036" s="1"/>
  <c r="X146" i="4036" s="1"/>
  <c r="Y146" i="4036" s="1"/>
  <c r="Z146" i="4036" s="1"/>
  <c r="AA146" i="4036" s="1"/>
  <c r="AB146" i="4036" s="1"/>
  <c r="AC146" i="4036" s="1"/>
  <c r="AD146" i="4036" s="1"/>
  <c r="AE146" i="4036" s="1"/>
  <c r="AF146" i="4036" s="1"/>
  <c r="AG146" i="4036" s="1"/>
  <c r="AH146" i="4036" s="1"/>
  <c r="AI146" i="4036" s="1"/>
  <c r="AJ146" i="4036" s="1"/>
  <c r="AK146" i="4036" s="1"/>
  <c r="AL146" i="4036" s="1"/>
  <c r="AM146" i="4036" s="1"/>
  <c r="AN146" i="4036" s="1"/>
  <c r="AO146" i="4036" s="1"/>
  <c r="AP146" i="4036" s="1"/>
  <c r="AQ146" i="4036" s="1"/>
  <c r="AR146" i="4036" s="1"/>
  <c r="C153" i="4026"/>
  <c r="G146" i="4024"/>
  <c r="H146" i="4024" s="1"/>
  <c r="I146" i="4024" s="1"/>
  <c r="J146" i="4024" s="1"/>
  <c r="K146" i="4024" s="1"/>
  <c r="L146" i="4024" s="1"/>
  <c r="M146" i="4024" s="1"/>
  <c r="N146" i="4024" s="1"/>
  <c r="O146" i="4024" s="1"/>
  <c r="P146" i="4024" s="1"/>
  <c r="Q146" i="4024" s="1"/>
  <c r="R146" i="4024" s="1"/>
  <c r="S146" i="4024" s="1"/>
  <c r="T146" i="4024" s="1"/>
  <c r="U146" i="4024" s="1"/>
  <c r="V146" i="4024" s="1"/>
  <c r="W146" i="4024" s="1"/>
  <c r="X146" i="4024" s="1"/>
  <c r="Y146" i="4024" s="1"/>
  <c r="Z146" i="4024" s="1"/>
  <c r="AA146" i="4024" s="1"/>
  <c r="AB146" i="4024" s="1"/>
  <c r="AC146" i="4024" s="1"/>
  <c r="AD146" i="4024" s="1"/>
  <c r="AE146" i="4024" s="1"/>
  <c r="AF146" i="4024" s="1"/>
  <c r="AG146" i="4024" s="1"/>
  <c r="AH146" i="4024" s="1"/>
  <c r="AI146" i="4024" s="1"/>
  <c r="AJ146" i="4024" s="1"/>
  <c r="AK146" i="4024" s="1"/>
  <c r="AL146" i="4024" s="1"/>
  <c r="AM146" i="4024" s="1"/>
  <c r="AN146" i="4024" s="1"/>
  <c r="AO146" i="4024" s="1"/>
  <c r="AP146" i="4024" s="1"/>
  <c r="AQ146" i="4024" s="1"/>
  <c r="AR146" i="4024" s="1"/>
  <c r="G146" i="4035"/>
  <c r="H146" i="4035" s="1"/>
  <c r="I146" i="4035" s="1"/>
  <c r="J146" i="4035" s="1"/>
  <c r="K146" i="4035" s="1"/>
  <c r="L146" i="4035" s="1"/>
  <c r="M146" i="4035" s="1"/>
  <c r="N146" i="4035" s="1"/>
  <c r="O146" i="4035" s="1"/>
  <c r="P146" i="4035" s="1"/>
  <c r="Q146" i="4035" s="1"/>
  <c r="R146" i="4035" s="1"/>
  <c r="S146" i="4035" s="1"/>
  <c r="T146" i="4035" s="1"/>
  <c r="U146" i="4035" s="1"/>
  <c r="V146" i="4035" s="1"/>
  <c r="W146" i="4035" s="1"/>
  <c r="X146" i="4035" s="1"/>
  <c r="Y146" i="4035" s="1"/>
  <c r="Z146" i="4035" s="1"/>
  <c r="AA146" i="4035" s="1"/>
  <c r="AB146" i="4035" s="1"/>
  <c r="AC146" i="4035" s="1"/>
  <c r="AD146" i="4035" s="1"/>
  <c r="AE146" i="4035" s="1"/>
  <c r="AF146" i="4035" s="1"/>
  <c r="AG146" i="4035" s="1"/>
  <c r="AH146" i="4035" s="1"/>
  <c r="AI146" i="4035" s="1"/>
  <c r="AJ146" i="4035" s="1"/>
  <c r="AK146" i="4035" s="1"/>
  <c r="AL146" i="4035" s="1"/>
  <c r="AM146" i="4035" s="1"/>
  <c r="AN146" i="4035" s="1"/>
  <c r="AO146" i="4035" s="1"/>
  <c r="AP146" i="4035" s="1"/>
  <c r="AQ146" i="4035" s="1"/>
  <c r="AR146" i="4035" s="1"/>
  <c r="G146" i="4023"/>
  <c r="H146" i="4023" s="1"/>
  <c r="I146" i="4023" s="1"/>
  <c r="J146" i="4023" s="1"/>
  <c r="K146" i="4023" s="1"/>
  <c r="L146" i="4023" s="1"/>
  <c r="M146" i="4023" s="1"/>
  <c r="N146" i="4023" s="1"/>
  <c r="O146" i="4023" s="1"/>
  <c r="P146" i="4023" s="1"/>
  <c r="Q146" i="4023" s="1"/>
  <c r="R146" i="4023" s="1"/>
  <c r="S146" i="4023" s="1"/>
  <c r="T146" i="4023" s="1"/>
  <c r="U146" i="4023" s="1"/>
  <c r="V146" i="4023" s="1"/>
  <c r="W146" i="4023" s="1"/>
  <c r="X146" i="4023" s="1"/>
  <c r="Y146" i="4023" s="1"/>
  <c r="Z146" i="4023" s="1"/>
  <c r="AA146" i="4023" s="1"/>
  <c r="AB146" i="4023" s="1"/>
  <c r="AC146" i="4023" s="1"/>
  <c r="AD146" i="4023" s="1"/>
  <c r="AE146" i="4023" s="1"/>
  <c r="AF146" i="4023" s="1"/>
  <c r="AG146" i="4023" s="1"/>
  <c r="AH146" i="4023" s="1"/>
  <c r="AI146" i="4023" s="1"/>
  <c r="AJ146" i="4023" s="1"/>
  <c r="AK146" i="4023" s="1"/>
  <c r="AL146" i="4023" s="1"/>
  <c r="AM146" i="4023" s="1"/>
  <c r="AN146" i="4023" s="1"/>
  <c r="AO146" i="4023" s="1"/>
  <c r="AP146" i="4023" s="1"/>
  <c r="AQ146" i="4023" s="1"/>
  <c r="AR146" i="4023" s="1"/>
  <c r="C153" i="4030"/>
  <c r="F146" i="4019"/>
  <c r="C153" i="4020"/>
  <c r="F146" i="4020"/>
  <c r="C153" i="4029"/>
  <c r="F146" i="4029"/>
  <c r="C153" i="4021"/>
  <c r="F146" i="4021"/>
  <c r="C153" i="4027"/>
  <c r="F146" i="4030"/>
  <c r="C153" i="4019"/>
  <c r="F146" i="4026"/>
  <c r="C153" i="4018"/>
  <c r="F146" i="4018"/>
  <c r="C153" i="4032"/>
  <c r="C153" i="4031"/>
  <c r="F146" i="4031"/>
  <c r="F146" i="4027"/>
  <c r="C153" i="4033"/>
  <c r="F146" i="4033"/>
  <c r="C153" i="4028"/>
  <c r="F146" i="4028"/>
  <c r="F146" i="4032"/>
  <c r="C161" i="4036" l="1"/>
  <c r="C161" i="4035"/>
  <c r="C161" i="4034"/>
  <c r="C161" i="4024"/>
  <c r="C161" i="4023"/>
  <c r="G146" i="4032"/>
  <c r="H146" i="4032" s="1"/>
  <c r="I146" i="4032" s="1"/>
  <c r="J146" i="4032" s="1"/>
  <c r="K146" i="4032" s="1"/>
  <c r="L146" i="4032" s="1"/>
  <c r="M146" i="4032" s="1"/>
  <c r="N146" i="4032" s="1"/>
  <c r="O146" i="4032" s="1"/>
  <c r="P146" i="4032" s="1"/>
  <c r="Q146" i="4032" s="1"/>
  <c r="R146" i="4032" s="1"/>
  <c r="S146" i="4032" s="1"/>
  <c r="T146" i="4032" s="1"/>
  <c r="U146" i="4032" s="1"/>
  <c r="V146" i="4032" s="1"/>
  <c r="W146" i="4032" s="1"/>
  <c r="X146" i="4032" s="1"/>
  <c r="Y146" i="4032" s="1"/>
  <c r="Z146" i="4032" s="1"/>
  <c r="AA146" i="4032" s="1"/>
  <c r="AB146" i="4032" s="1"/>
  <c r="AC146" i="4032" s="1"/>
  <c r="AD146" i="4032" s="1"/>
  <c r="AE146" i="4032" s="1"/>
  <c r="AF146" i="4032" s="1"/>
  <c r="AG146" i="4032" s="1"/>
  <c r="AH146" i="4032" s="1"/>
  <c r="AI146" i="4032" s="1"/>
  <c r="AJ146" i="4032" s="1"/>
  <c r="AK146" i="4032" s="1"/>
  <c r="AL146" i="4032" s="1"/>
  <c r="AM146" i="4032" s="1"/>
  <c r="AN146" i="4032" s="1"/>
  <c r="AO146" i="4032" s="1"/>
  <c r="AP146" i="4032" s="1"/>
  <c r="AQ146" i="4032" s="1"/>
  <c r="AR146" i="4032" s="1"/>
  <c r="G146" i="4028"/>
  <c r="H146" i="4028" s="1"/>
  <c r="I146" i="4028" s="1"/>
  <c r="J146" i="4028" s="1"/>
  <c r="K146" i="4028" s="1"/>
  <c r="L146" i="4028" s="1"/>
  <c r="M146" i="4028" s="1"/>
  <c r="N146" i="4028" s="1"/>
  <c r="O146" i="4028" s="1"/>
  <c r="P146" i="4028" s="1"/>
  <c r="Q146" i="4028" s="1"/>
  <c r="R146" i="4028" s="1"/>
  <c r="S146" i="4028" s="1"/>
  <c r="T146" i="4028" s="1"/>
  <c r="U146" i="4028" s="1"/>
  <c r="V146" i="4028" s="1"/>
  <c r="W146" i="4028" s="1"/>
  <c r="X146" i="4028" s="1"/>
  <c r="Y146" i="4028" s="1"/>
  <c r="Z146" i="4028" s="1"/>
  <c r="AA146" i="4028" s="1"/>
  <c r="AB146" i="4028" s="1"/>
  <c r="AC146" i="4028" s="1"/>
  <c r="AD146" i="4028" s="1"/>
  <c r="AE146" i="4028" s="1"/>
  <c r="AF146" i="4028" s="1"/>
  <c r="AG146" i="4028" s="1"/>
  <c r="AH146" i="4028" s="1"/>
  <c r="AI146" i="4028" s="1"/>
  <c r="AJ146" i="4028" s="1"/>
  <c r="AK146" i="4028" s="1"/>
  <c r="AL146" i="4028" s="1"/>
  <c r="AM146" i="4028" s="1"/>
  <c r="AN146" i="4028" s="1"/>
  <c r="AO146" i="4028" s="1"/>
  <c r="AP146" i="4028" s="1"/>
  <c r="AQ146" i="4028" s="1"/>
  <c r="AR146" i="4028" s="1"/>
  <c r="G146" i="4033"/>
  <c r="H146" i="4033" s="1"/>
  <c r="I146" i="4033" s="1"/>
  <c r="J146" i="4033" s="1"/>
  <c r="K146" i="4033" s="1"/>
  <c r="L146" i="4033" s="1"/>
  <c r="M146" i="4033" s="1"/>
  <c r="N146" i="4033" s="1"/>
  <c r="O146" i="4033" s="1"/>
  <c r="P146" i="4033" s="1"/>
  <c r="Q146" i="4033" s="1"/>
  <c r="R146" i="4033" s="1"/>
  <c r="S146" i="4033" s="1"/>
  <c r="T146" i="4033" s="1"/>
  <c r="U146" i="4033" s="1"/>
  <c r="V146" i="4033" s="1"/>
  <c r="W146" i="4033" s="1"/>
  <c r="X146" i="4033" s="1"/>
  <c r="Y146" i="4033" s="1"/>
  <c r="Z146" i="4033" s="1"/>
  <c r="AA146" i="4033" s="1"/>
  <c r="AB146" i="4033" s="1"/>
  <c r="AC146" i="4033" s="1"/>
  <c r="AD146" i="4033" s="1"/>
  <c r="AE146" i="4033" s="1"/>
  <c r="AF146" i="4033" s="1"/>
  <c r="AG146" i="4033" s="1"/>
  <c r="AH146" i="4033" s="1"/>
  <c r="AI146" i="4033" s="1"/>
  <c r="AJ146" i="4033" s="1"/>
  <c r="AK146" i="4033" s="1"/>
  <c r="AL146" i="4033" s="1"/>
  <c r="AM146" i="4033" s="1"/>
  <c r="AN146" i="4033" s="1"/>
  <c r="AO146" i="4033" s="1"/>
  <c r="AP146" i="4033" s="1"/>
  <c r="AQ146" i="4033" s="1"/>
  <c r="AR146" i="4033" s="1"/>
  <c r="G146" i="4027"/>
  <c r="H146" i="4027" s="1"/>
  <c r="I146" i="4027" s="1"/>
  <c r="J146" i="4027" s="1"/>
  <c r="K146" i="4027" s="1"/>
  <c r="L146" i="4027" s="1"/>
  <c r="M146" i="4027" s="1"/>
  <c r="N146" i="4027" s="1"/>
  <c r="O146" i="4027" s="1"/>
  <c r="P146" i="4027" s="1"/>
  <c r="Q146" i="4027" s="1"/>
  <c r="R146" i="4027" s="1"/>
  <c r="S146" i="4027" s="1"/>
  <c r="T146" i="4027" s="1"/>
  <c r="U146" i="4027" s="1"/>
  <c r="V146" i="4027" s="1"/>
  <c r="W146" i="4027" s="1"/>
  <c r="X146" i="4027" s="1"/>
  <c r="Y146" i="4027" s="1"/>
  <c r="Z146" i="4027" s="1"/>
  <c r="AA146" i="4027" s="1"/>
  <c r="AB146" i="4027" s="1"/>
  <c r="AC146" i="4027" s="1"/>
  <c r="AD146" i="4027" s="1"/>
  <c r="AE146" i="4027" s="1"/>
  <c r="AF146" i="4027" s="1"/>
  <c r="AG146" i="4027" s="1"/>
  <c r="AH146" i="4027" s="1"/>
  <c r="AI146" i="4027" s="1"/>
  <c r="AJ146" i="4027" s="1"/>
  <c r="AK146" i="4027" s="1"/>
  <c r="AL146" i="4027" s="1"/>
  <c r="AM146" i="4027" s="1"/>
  <c r="AN146" i="4027" s="1"/>
  <c r="AO146" i="4027" s="1"/>
  <c r="AP146" i="4027" s="1"/>
  <c r="AQ146" i="4027" s="1"/>
  <c r="AR146" i="4027" s="1"/>
  <c r="G146" i="4031"/>
  <c r="H146" i="4031" s="1"/>
  <c r="I146" i="4031" s="1"/>
  <c r="J146" i="4031" s="1"/>
  <c r="K146" i="4031" s="1"/>
  <c r="L146" i="4031" s="1"/>
  <c r="M146" i="4031" s="1"/>
  <c r="N146" i="4031" s="1"/>
  <c r="O146" i="4031" s="1"/>
  <c r="P146" i="4031" s="1"/>
  <c r="Q146" i="4031" s="1"/>
  <c r="R146" i="4031" s="1"/>
  <c r="S146" i="4031" s="1"/>
  <c r="T146" i="4031" s="1"/>
  <c r="U146" i="4031" s="1"/>
  <c r="V146" i="4031" s="1"/>
  <c r="W146" i="4031" s="1"/>
  <c r="X146" i="4031" s="1"/>
  <c r="Y146" i="4031" s="1"/>
  <c r="Z146" i="4031" s="1"/>
  <c r="AA146" i="4031" s="1"/>
  <c r="AB146" i="4031" s="1"/>
  <c r="AC146" i="4031" s="1"/>
  <c r="AD146" i="4031" s="1"/>
  <c r="AE146" i="4031" s="1"/>
  <c r="AF146" i="4031" s="1"/>
  <c r="AG146" i="4031" s="1"/>
  <c r="AH146" i="4031" s="1"/>
  <c r="AI146" i="4031" s="1"/>
  <c r="AJ146" i="4031" s="1"/>
  <c r="AK146" i="4031" s="1"/>
  <c r="AL146" i="4031" s="1"/>
  <c r="AM146" i="4031" s="1"/>
  <c r="AN146" i="4031" s="1"/>
  <c r="AO146" i="4031" s="1"/>
  <c r="AP146" i="4031" s="1"/>
  <c r="AQ146" i="4031" s="1"/>
  <c r="AR146" i="4031" s="1"/>
  <c r="G146" i="4018"/>
  <c r="H146" i="4018" s="1"/>
  <c r="I146" i="4018" s="1"/>
  <c r="J146" i="4018" s="1"/>
  <c r="K146" i="4018" s="1"/>
  <c r="L146" i="4018" s="1"/>
  <c r="M146" i="4018" s="1"/>
  <c r="N146" i="4018" s="1"/>
  <c r="O146" i="4018" s="1"/>
  <c r="P146" i="4018" s="1"/>
  <c r="Q146" i="4018" s="1"/>
  <c r="R146" i="4018" s="1"/>
  <c r="S146" i="4018" s="1"/>
  <c r="T146" i="4018" s="1"/>
  <c r="U146" i="4018" s="1"/>
  <c r="V146" i="4018" s="1"/>
  <c r="W146" i="4018" s="1"/>
  <c r="X146" i="4018" s="1"/>
  <c r="Y146" i="4018" s="1"/>
  <c r="Z146" i="4018" s="1"/>
  <c r="AA146" i="4018" s="1"/>
  <c r="AB146" i="4018" s="1"/>
  <c r="AC146" i="4018" s="1"/>
  <c r="AD146" i="4018" s="1"/>
  <c r="AE146" i="4018" s="1"/>
  <c r="AF146" i="4018" s="1"/>
  <c r="AG146" i="4018" s="1"/>
  <c r="AH146" i="4018" s="1"/>
  <c r="AI146" i="4018" s="1"/>
  <c r="AJ146" i="4018" s="1"/>
  <c r="AK146" i="4018" s="1"/>
  <c r="AL146" i="4018" s="1"/>
  <c r="AM146" i="4018" s="1"/>
  <c r="AN146" i="4018" s="1"/>
  <c r="AO146" i="4018" s="1"/>
  <c r="AP146" i="4018" s="1"/>
  <c r="AQ146" i="4018" s="1"/>
  <c r="AR146" i="4018" s="1"/>
  <c r="G146" i="4026"/>
  <c r="H146" i="4026" s="1"/>
  <c r="I146" i="4026" s="1"/>
  <c r="J146" i="4026" s="1"/>
  <c r="K146" i="4026" s="1"/>
  <c r="L146" i="4026" s="1"/>
  <c r="M146" i="4026" s="1"/>
  <c r="N146" i="4026" s="1"/>
  <c r="O146" i="4026" s="1"/>
  <c r="P146" i="4026" s="1"/>
  <c r="Q146" i="4026" s="1"/>
  <c r="R146" i="4026" s="1"/>
  <c r="S146" i="4026" s="1"/>
  <c r="T146" i="4026" s="1"/>
  <c r="U146" i="4026" s="1"/>
  <c r="V146" i="4026" s="1"/>
  <c r="W146" i="4026" s="1"/>
  <c r="X146" i="4026" s="1"/>
  <c r="Y146" i="4026" s="1"/>
  <c r="Z146" i="4026" s="1"/>
  <c r="AA146" i="4026" s="1"/>
  <c r="AB146" i="4026" s="1"/>
  <c r="AC146" i="4026" s="1"/>
  <c r="AD146" i="4026" s="1"/>
  <c r="AE146" i="4026" s="1"/>
  <c r="AF146" i="4026" s="1"/>
  <c r="AG146" i="4026" s="1"/>
  <c r="AH146" i="4026" s="1"/>
  <c r="AI146" i="4026" s="1"/>
  <c r="AJ146" i="4026" s="1"/>
  <c r="AK146" i="4026" s="1"/>
  <c r="AL146" i="4026" s="1"/>
  <c r="AM146" i="4026" s="1"/>
  <c r="AN146" i="4026" s="1"/>
  <c r="AO146" i="4026" s="1"/>
  <c r="AP146" i="4026" s="1"/>
  <c r="AQ146" i="4026" s="1"/>
  <c r="AR146" i="4026" s="1"/>
  <c r="G146" i="4030"/>
  <c r="H146" i="4030" s="1"/>
  <c r="I146" i="4030" s="1"/>
  <c r="J146" i="4030" s="1"/>
  <c r="K146" i="4030" s="1"/>
  <c r="L146" i="4030" s="1"/>
  <c r="M146" i="4030" s="1"/>
  <c r="N146" i="4030" s="1"/>
  <c r="O146" i="4030" s="1"/>
  <c r="P146" i="4030" s="1"/>
  <c r="Q146" i="4030" s="1"/>
  <c r="R146" i="4030" s="1"/>
  <c r="S146" i="4030" s="1"/>
  <c r="T146" i="4030" s="1"/>
  <c r="U146" i="4030" s="1"/>
  <c r="V146" i="4030" s="1"/>
  <c r="W146" i="4030" s="1"/>
  <c r="X146" i="4030" s="1"/>
  <c r="Y146" i="4030" s="1"/>
  <c r="Z146" i="4030" s="1"/>
  <c r="AA146" i="4030" s="1"/>
  <c r="AB146" i="4030" s="1"/>
  <c r="AC146" i="4030" s="1"/>
  <c r="AD146" i="4030" s="1"/>
  <c r="AE146" i="4030" s="1"/>
  <c r="AF146" i="4030" s="1"/>
  <c r="AG146" i="4030" s="1"/>
  <c r="AH146" i="4030" s="1"/>
  <c r="AI146" i="4030" s="1"/>
  <c r="AJ146" i="4030" s="1"/>
  <c r="AK146" i="4030" s="1"/>
  <c r="AL146" i="4030" s="1"/>
  <c r="AM146" i="4030" s="1"/>
  <c r="AN146" i="4030" s="1"/>
  <c r="AO146" i="4030" s="1"/>
  <c r="AP146" i="4030" s="1"/>
  <c r="AQ146" i="4030" s="1"/>
  <c r="AR146" i="4030" s="1"/>
  <c r="G146" i="4021"/>
  <c r="H146" i="4021" s="1"/>
  <c r="I146" i="4021" s="1"/>
  <c r="J146" i="4021" s="1"/>
  <c r="K146" i="4021" s="1"/>
  <c r="L146" i="4021" s="1"/>
  <c r="M146" i="4021" s="1"/>
  <c r="N146" i="4021" s="1"/>
  <c r="O146" i="4021" s="1"/>
  <c r="P146" i="4021" s="1"/>
  <c r="Q146" i="4021" s="1"/>
  <c r="R146" i="4021" s="1"/>
  <c r="S146" i="4021" s="1"/>
  <c r="T146" i="4021" s="1"/>
  <c r="U146" i="4021" s="1"/>
  <c r="V146" i="4021" s="1"/>
  <c r="W146" i="4021" s="1"/>
  <c r="X146" i="4021" s="1"/>
  <c r="Y146" i="4021" s="1"/>
  <c r="Z146" i="4021" s="1"/>
  <c r="AA146" i="4021" s="1"/>
  <c r="AB146" i="4021" s="1"/>
  <c r="AC146" i="4021" s="1"/>
  <c r="AD146" i="4021" s="1"/>
  <c r="AE146" i="4021" s="1"/>
  <c r="AF146" i="4021" s="1"/>
  <c r="AG146" i="4021" s="1"/>
  <c r="AH146" i="4021" s="1"/>
  <c r="AI146" i="4021" s="1"/>
  <c r="AJ146" i="4021" s="1"/>
  <c r="AK146" i="4021" s="1"/>
  <c r="AL146" i="4021" s="1"/>
  <c r="AM146" i="4021" s="1"/>
  <c r="AN146" i="4021" s="1"/>
  <c r="AO146" i="4021" s="1"/>
  <c r="AP146" i="4021" s="1"/>
  <c r="AQ146" i="4021" s="1"/>
  <c r="AR146" i="4021" s="1"/>
  <c r="G146" i="4029"/>
  <c r="H146" i="4029" s="1"/>
  <c r="I146" i="4029" s="1"/>
  <c r="J146" i="4029" s="1"/>
  <c r="K146" i="4029" s="1"/>
  <c r="L146" i="4029" s="1"/>
  <c r="M146" i="4029" s="1"/>
  <c r="N146" i="4029" s="1"/>
  <c r="O146" i="4029" s="1"/>
  <c r="P146" i="4029" s="1"/>
  <c r="Q146" i="4029" s="1"/>
  <c r="R146" i="4029" s="1"/>
  <c r="S146" i="4029" s="1"/>
  <c r="T146" i="4029" s="1"/>
  <c r="U146" i="4029" s="1"/>
  <c r="V146" i="4029" s="1"/>
  <c r="W146" i="4029" s="1"/>
  <c r="X146" i="4029" s="1"/>
  <c r="Y146" i="4029" s="1"/>
  <c r="Z146" i="4029" s="1"/>
  <c r="AA146" i="4029" s="1"/>
  <c r="AB146" i="4029" s="1"/>
  <c r="AC146" i="4029" s="1"/>
  <c r="AD146" i="4029" s="1"/>
  <c r="AE146" i="4029" s="1"/>
  <c r="AF146" i="4029" s="1"/>
  <c r="AG146" i="4029" s="1"/>
  <c r="AH146" i="4029" s="1"/>
  <c r="AI146" i="4029" s="1"/>
  <c r="AJ146" i="4029" s="1"/>
  <c r="AK146" i="4029" s="1"/>
  <c r="AL146" i="4029" s="1"/>
  <c r="AM146" i="4029" s="1"/>
  <c r="AN146" i="4029" s="1"/>
  <c r="AO146" i="4029" s="1"/>
  <c r="AP146" i="4029" s="1"/>
  <c r="AQ146" i="4029" s="1"/>
  <c r="AR146" i="4029" s="1"/>
  <c r="G146" i="4020"/>
  <c r="H146" i="4020" s="1"/>
  <c r="I146" i="4020" s="1"/>
  <c r="J146" i="4020" s="1"/>
  <c r="K146" i="4020" s="1"/>
  <c r="L146" i="4020" s="1"/>
  <c r="M146" i="4020" s="1"/>
  <c r="N146" i="4020" s="1"/>
  <c r="O146" i="4020" s="1"/>
  <c r="P146" i="4020" s="1"/>
  <c r="Q146" i="4020" s="1"/>
  <c r="R146" i="4020" s="1"/>
  <c r="S146" i="4020" s="1"/>
  <c r="T146" i="4020" s="1"/>
  <c r="U146" i="4020" s="1"/>
  <c r="V146" i="4020" s="1"/>
  <c r="W146" i="4020" s="1"/>
  <c r="X146" i="4020" s="1"/>
  <c r="Y146" i="4020" s="1"/>
  <c r="Z146" i="4020" s="1"/>
  <c r="AA146" i="4020" s="1"/>
  <c r="AB146" i="4020" s="1"/>
  <c r="AC146" i="4020" s="1"/>
  <c r="AD146" i="4020" s="1"/>
  <c r="AE146" i="4020" s="1"/>
  <c r="AF146" i="4020" s="1"/>
  <c r="AG146" i="4020" s="1"/>
  <c r="AH146" i="4020" s="1"/>
  <c r="AI146" i="4020" s="1"/>
  <c r="AJ146" i="4020" s="1"/>
  <c r="AK146" i="4020" s="1"/>
  <c r="AL146" i="4020" s="1"/>
  <c r="AM146" i="4020" s="1"/>
  <c r="AN146" i="4020" s="1"/>
  <c r="AO146" i="4020" s="1"/>
  <c r="AP146" i="4020" s="1"/>
  <c r="AQ146" i="4020" s="1"/>
  <c r="AR146" i="4020" s="1"/>
  <c r="G146" i="4019"/>
  <c r="H146" i="4019" s="1"/>
  <c r="I146" i="4019" s="1"/>
  <c r="J146" i="4019" s="1"/>
  <c r="K146" i="4019" s="1"/>
  <c r="L146" i="4019" s="1"/>
  <c r="M146" i="4019" s="1"/>
  <c r="N146" i="4019" s="1"/>
  <c r="O146" i="4019" s="1"/>
  <c r="P146" i="4019" s="1"/>
  <c r="Q146" i="4019" s="1"/>
  <c r="R146" i="4019" s="1"/>
  <c r="S146" i="4019" s="1"/>
  <c r="T146" i="4019" s="1"/>
  <c r="U146" i="4019" s="1"/>
  <c r="V146" i="4019" s="1"/>
  <c r="W146" i="4019" s="1"/>
  <c r="X146" i="4019" s="1"/>
  <c r="Y146" i="4019" s="1"/>
  <c r="Z146" i="4019" s="1"/>
  <c r="AA146" i="4019" s="1"/>
  <c r="AB146" i="4019" s="1"/>
  <c r="AC146" i="4019" s="1"/>
  <c r="AD146" i="4019" s="1"/>
  <c r="AE146" i="4019" s="1"/>
  <c r="AF146" i="4019" s="1"/>
  <c r="AG146" i="4019" s="1"/>
  <c r="AH146" i="4019" s="1"/>
  <c r="AI146" i="4019" s="1"/>
  <c r="AJ146" i="4019" s="1"/>
  <c r="AK146" i="4019" s="1"/>
  <c r="AL146" i="4019" s="1"/>
  <c r="AM146" i="4019" s="1"/>
  <c r="AN146" i="4019" s="1"/>
  <c r="AO146" i="4019" s="1"/>
  <c r="AP146" i="4019" s="1"/>
  <c r="AQ146" i="4019" s="1"/>
  <c r="AR146" i="4019" s="1"/>
  <c r="D39" i="149"/>
  <c r="C161" i="4032" l="1"/>
  <c r="C161" i="4029"/>
  <c r="C161" i="4028"/>
  <c r="C161" i="4033"/>
  <c r="C161" i="4031"/>
  <c r="C161" i="4030"/>
  <c r="C161" i="4027"/>
  <c r="C161" i="4026"/>
  <c r="C161" i="4021"/>
  <c r="C161" i="4020"/>
  <c r="C161" i="4018"/>
  <c r="C161" i="4019"/>
  <c r="H51" i="149"/>
  <c r="Q5" i="65" l="1"/>
  <c r="E5" i="65"/>
  <c r="I5" i="65"/>
  <c r="J5" i="65"/>
  <c r="K5" i="65"/>
  <c r="L5" i="65"/>
  <c r="M5" i="65"/>
  <c r="H76" i="149"/>
  <c r="H75" i="149"/>
  <c r="H73" i="149"/>
  <c r="H72" i="149"/>
  <c r="H71" i="149"/>
  <c r="H70" i="149"/>
  <c r="F28" i="149"/>
  <c r="D37" i="149"/>
  <c r="D30" i="149"/>
  <c r="D28" i="149"/>
  <c r="H69" i="149"/>
  <c r="D69" i="149"/>
  <c r="J22" i="65"/>
  <c r="J25" i="65"/>
  <c r="J23" i="65"/>
  <c r="J26" i="65"/>
  <c r="J17" i="65"/>
  <c r="J18" i="65"/>
  <c r="J20" i="65"/>
  <c r="J30" i="65"/>
  <c r="J16" i="65"/>
  <c r="J27" i="65"/>
  <c r="J24" i="65"/>
  <c r="J19" i="65"/>
  <c r="J28" i="65"/>
  <c r="J21" i="65"/>
  <c r="F37" i="149" l="1"/>
  <c r="F38" i="149"/>
  <c r="F39" i="149"/>
  <c r="F30" i="149"/>
  <c r="D36" i="149"/>
  <c r="F36" i="149"/>
  <c r="F29" i="149"/>
  <c r="F31" i="149"/>
  <c r="F34" i="149"/>
  <c r="D29" i="149"/>
  <c r="D31" i="149"/>
  <c r="D34" i="149"/>
  <c r="T11" i="65"/>
  <c r="G27" i="65"/>
  <c r="E12" i="65"/>
  <c r="G24" i="65"/>
  <c r="G19" i="65"/>
  <c r="F19" i="65"/>
  <c r="S21" i="65"/>
  <c r="T19" i="65"/>
  <c r="G18" i="65"/>
  <c r="T20" i="65"/>
  <c r="F28" i="65"/>
  <c r="S30" i="65"/>
  <c r="S10" i="65"/>
  <c r="S16" i="65"/>
  <c r="T28" i="65"/>
  <c r="S26" i="65"/>
  <c r="F27" i="65"/>
  <c r="T24" i="65"/>
  <c r="S25" i="65"/>
  <c r="F16" i="65"/>
  <c r="S8" i="65"/>
  <c r="T17" i="65"/>
  <c r="F30" i="65"/>
  <c r="G17" i="65"/>
  <c r="F10" i="65"/>
  <c r="L12" i="65"/>
  <c r="T25" i="65"/>
  <c r="G16" i="65"/>
  <c r="F20" i="65"/>
  <c r="T16" i="65"/>
  <c r="S18" i="65"/>
  <c r="G25" i="65"/>
  <c r="Q12" i="65"/>
  <c r="G13" i="65"/>
  <c r="F11" i="65"/>
  <c r="S13" i="65"/>
  <c r="S24" i="65"/>
  <c r="G11" i="65"/>
  <c r="G23" i="65"/>
  <c r="F9" i="65"/>
  <c r="T26" i="65"/>
  <c r="S19" i="65"/>
  <c r="T10" i="65"/>
  <c r="S11" i="65"/>
  <c r="T27" i="65"/>
  <c r="F17" i="65"/>
  <c r="S9" i="65"/>
  <c r="G26" i="65"/>
  <c r="S17" i="65"/>
  <c r="F22" i="65"/>
  <c r="G28" i="65"/>
  <c r="S27" i="65"/>
  <c r="G20" i="65"/>
  <c r="T9" i="65"/>
  <c r="S23" i="65"/>
  <c r="F21" i="65"/>
  <c r="F24" i="65"/>
  <c r="T30" i="65"/>
  <c r="G30" i="65"/>
  <c r="L14" i="65"/>
  <c r="T21" i="65"/>
  <c r="F18" i="65"/>
  <c r="T23" i="65"/>
  <c r="F23" i="65"/>
  <c r="G22" i="65"/>
  <c r="T18" i="65"/>
  <c r="Q14" i="65"/>
  <c r="S28" i="65"/>
  <c r="S20" i="65"/>
  <c r="F26" i="65"/>
  <c r="F13" i="65"/>
  <c r="F25" i="65"/>
  <c r="G21" i="65"/>
  <c r="S22" i="65"/>
  <c r="T13" i="65"/>
  <c r="T22" i="65"/>
  <c r="E14" i="65"/>
  <c r="G10" i="65"/>
  <c r="G9" i="65"/>
  <c r="D1" i="149" l="1"/>
  <c r="H66" i="149"/>
  <c r="H64" i="149"/>
  <c r="E64" i="149"/>
  <c r="H63" i="149"/>
  <c r="E66" i="149"/>
  <c r="E63" i="149"/>
  <c r="E60" i="149"/>
  <c r="H56" i="149"/>
  <c r="H57" i="149"/>
  <c r="H58" i="149"/>
  <c r="H55" i="149"/>
  <c r="H53" i="149"/>
  <c r="H50" i="149"/>
  <c r="D50" i="149"/>
  <c r="H9" i="149" l="1"/>
  <c r="C167" i="4018" s="1"/>
  <c r="F9" i="149"/>
  <c r="F10" i="149"/>
  <c r="C174" i="4019" s="1"/>
  <c r="H10" i="149"/>
  <c r="C167" i="4019" s="1"/>
  <c r="C30" i="65"/>
  <c r="E30" i="65"/>
  <c r="D13" i="65"/>
  <c r="E27" i="65"/>
  <c r="D10" i="65"/>
  <c r="D28" i="65"/>
  <c r="L25" i="65"/>
  <c r="D9" i="65"/>
  <c r="D23" i="65"/>
  <c r="K30" i="65"/>
  <c r="C19" i="65"/>
  <c r="D27" i="65"/>
  <c r="D24" i="65"/>
  <c r="L18" i="65"/>
  <c r="E18" i="65"/>
  <c r="E11" i="65"/>
  <c r="E25" i="65"/>
  <c r="L28" i="65"/>
  <c r="L24" i="65"/>
  <c r="D21" i="65"/>
  <c r="D22" i="65"/>
  <c r="D17" i="65"/>
  <c r="D30" i="65"/>
  <c r="L21" i="65"/>
  <c r="C13" i="65"/>
  <c r="E26" i="65"/>
  <c r="C8" i="65"/>
  <c r="D8" i="65"/>
  <c r="E17" i="65"/>
  <c r="C20" i="65"/>
  <c r="L22" i="65"/>
  <c r="Q27" i="65"/>
  <c r="Q22" i="65"/>
  <c r="Q30" i="65"/>
  <c r="C18" i="65"/>
  <c r="Q9" i="65"/>
  <c r="C17" i="65"/>
  <c r="C23" i="65"/>
  <c r="D20" i="65"/>
  <c r="L27" i="65"/>
  <c r="L17" i="65"/>
  <c r="E28" i="65"/>
  <c r="E19" i="65"/>
  <c r="C10" i="65"/>
  <c r="D25" i="65"/>
  <c r="L20" i="65"/>
  <c r="L30" i="65"/>
  <c r="Q19" i="65"/>
  <c r="E21" i="65"/>
  <c r="Q16" i="65"/>
  <c r="D18" i="65"/>
  <c r="D11" i="65"/>
  <c r="D19" i="65"/>
  <c r="Q13" i="65"/>
  <c r="L19" i="65"/>
  <c r="Q18" i="65"/>
  <c r="Q26" i="65"/>
  <c r="D16" i="65"/>
  <c r="C24" i="65"/>
  <c r="Q17" i="65"/>
  <c r="AA9" i="65"/>
  <c r="C28" i="65"/>
  <c r="E13" i="65"/>
  <c r="C25" i="65"/>
  <c r="C22" i="65"/>
  <c r="E20" i="65"/>
  <c r="E10" i="65"/>
  <c r="Q11" i="65"/>
  <c r="L26" i="65"/>
  <c r="L16" i="65"/>
  <c r="Q21" i="65"/>
  <c r="Q23" i="65"/>
  <c r="Q24" i="65"/>
  <c r="Q28" i="65"/>
  <c r="Q25" i="65"/>
  <c r="C16" i="65"/>
  <c r="AA8" i="65"/>
  <c r="E24" i="65"/>
  <c r="E22" i="65"/>
  <c r="C9" i="65"/>
  <c r="C21" i="65"/>
  <c r="L23" i="65"/>
  <c r="D26" i="65"/>
  <c r="C26" i="65"/>
  <c r="C11" i="65"/>
  <c r="Q20" i="65"/>
  <c r="E16" i="65"/>
  <c r="Q10" i="65"/>
  <c r="Q8" i="65"/>
  <c r="C27" i="65"/>
  <c r="E9" i="65"/>
  <c r="C165" i="4018" l="1"/>
  <c r="C174" i="4018"/>
  <c r="C168" i="4018"/>
  <c r="D62" i="149"/>
  <c r="D61" i="149"/>
  <c r="X12" i="65"/>
  <c r="W16" i="65"/>
  <c r="N8" i="65"/>
  <c r="W30" i="65"/>
  <c r="X8" i="65"/>
  <c r="X14" i="65"/>
  <c r="I60" i="149" l="1"/>
  <c r="I59" i="149"/>
  <c r="E59" i="149"/>
  <c r="E56" i="149"/>
  <c r="E57" i="149"/>
  <c r="E58" i="149"/>
  <c r="E55" i="149"/>
  <c r="E53" i="149"/>
  <c r="I52" i="149"/>
  <c r="E52" i="149"/>
  <c r="I50" i="149"/>
  <c r="I49" i="149"/>
  <c r="E50" i="149"/>
  <c r="E49" i="149"/>
  <c r="I48" i="149"/>
  <c r="E48" i="149"/>
  <c r="I46" i="149"/>
  <c r="E46" i="149"/>
  <c r="C16" i="6" l="1"/>
  <c r="B13" i="6"/>
  <c r="T8" i="65"/>
  <c r="A1" i="4035" l="1"/>
  <c r="A1" i="4038"/>
  <c r="A1" i="4037"/>
  <c r="A1" i="4036"/>
  <c r="A1" i="4034"/>
  <c r="A1" i="4033"/>
  <c r="A1" i="4032"/>
  <c r="A1" i="4031"/>
  <c r="A1" i="4030"/>
  <c r="A1" i="4029"/>
  <c r="A1" i="4028"/>
  <c r="A1" i="4027"/>
  <c r="A1" i="4026"/>
  <c r="A1" i="4025"/>
  <c r="A1" i="4024"/>
  <c r="A1" i="4023"/>
  <c r="A1" i="4022"/>
  <c r="A1" i="4021"/>
  <c r="A1" i="4020"/>
  <c r="A1" i="4019"/>
  <c r="A1" i="4018"/>
  <c r="F4" i="149" l="1"/>
  <c r="C6" i="4036" s="1"/>
  <c r="D10" i="149"/>
  <c r="J10" i="149" s="1"/>
  <c r="C177" i="4019" s="1"/>
  <c r="F8" i="149"/>
  <c r="H8" i="149"/>
  <c r="C166" i="4019" s="1"/>
  <c r="C165" i="4019" s="1"/>
  <c r="D8" i="149"/>
  <c r="F6" i="149"/>
  <c r="H6" i="149"/>
  <c r="J6" i="149"/>
  <c r="H4" i="149"/>
  <c r="D4" i="149"/>
  <c r="J4" i="149" s="1"/>
  <c r="B21" i="65"/>
  <c r="B30" i="65"/>
  <c r="B13" i="65"/>
  <c r="B27" i="65"/>
  <c r="B25" i="65"/>
  <c r="B9" i="65"/>
  <c r="B8" i="65"/>
  <c r="B19" i="65"/>
  <c r="B16" i="65"/>
  <c r="B24" i="65"/>
  <c r="B22" i="65"/>
  <c r="B11" i="65"/>
  <c r="B18" i="65"/>
  <c r="B20" i="65"/>
  <c r="B17" i="65"/>
  <c r="I30" i="65"/>
  <c r="B26" i="65"/>
  <c r="B23" i="65"/>
  <c r="B10" i="65"/>
  <c r="N30" i="65"/>
  <c r="B28" i="65"/>
  <c r="C164" i="4028" l="1"/>
  <c r="C164" i="4035"/>
  <c r="C164" i="4027"/>
  <c r="C164" i="4034"/>
  <c r="C164" i="4026"/>
  <c r="C164" i="4032"/>
  <c r="C164" i="4024"/>
  <c r="C164" i="4031"/>
  <c r="C164" i="4033"/>
  <c r="C164" i="4025"/>
  <c r="C164" i="4030"/>
  <c r="C164" i="4029"/>
  <c r="C168" i="4032"/>
  <c r="C168" i="4024"/>
  <c r="C168" i="4031"/>
  <c r="C168" i="4030"/>
  <c r="C168" i="4029"/>
  <c r="C168" i="4035"/>
  <c r="C168" i="4027"/>
  <c r="C168" i="4034"/>
  <c r="C168" i="4026"/>
  <c r="C168" i="4028"/>
  <c r="C168" i="4033"/>
  <c r="C168" i="4025"/>
  <c r="C175" i="4035"/>
  <c r="C175" i="4031"/>
  <c r="C175" i="4027"/>
  <c r="C175" i="4034"/>
  <c r="C175" i="4030"/>
  <c r="C175" i="4026"/>
  <c r="C175" i="4033"/>
  <c r="C175" i="4029"/>
  <c r="C175" i="4025"/>
  <c r="C175" i="4032"/>
  <c r="C175" i="4028"/>
  <c r="C175" i="4024"/>
  <c r="J8" i="149"/>
  <c r="C176" i="4019" s="1"/>
  <c r="C175" i="4019" s="1"/>
  <c r="C169" i="4019"/>
  <c r="C168" i="4019"/>
  <c r="C173" i="4019"/>
  <c r="C169" i="4020"/>
  <c r="C169" i="4021"/>
  <c r="C169" i="4038"/>
  <c r="C169" i="4037"/>
  <c r="C169" i="4022"/>
  <c r="C173" i="4021"/>
  <c r="C173" i="4038"/>
  <c r="C173" i="4037"/>
  <c r="C168" i="4022"/>
  <c r="C173" i="4020"/>
  <c r="C168" i="4020"/>
  <c r="C168" i="4021"/>
  <c r="C168" i="4037"/>
  <c r="C173" i="4022"/>
  <c r="C168" i="4038"/>
  <c r="C166" i="4020"/>
  <c r="C165" i="4020" s="1"/>
  <c r="C166" i="4038"/>
  <c r="C165" i="4038" s="1"/>
  <c r="C166" i="4037"/>
  <c r="C165" i="4037" s="1"/>
  <c r="C166" i="4022"/>
  <c r="C165" i="4022" s="1"/>
  <c r="C166" i="4021"/>
  <c r="C165" i="4021" s="1"/>
  <c r="C168" i="4023"/>
  <c r="C169" i="4023"/>
  <c r="C164" i="4023"/>
  <c r="I22" i="65"/>
  <c r="X21" i="65"/>
  <c r="I18" i="65"/>
  <c r="Z20" i="65"/>
  <c r="X16" i="65"/>
  <c r="X18" i="65"/>
  <c r="X17" i="65"/>
  <c r="I11" i="65"/>
  <c r="Z19" i="65"/>
  <c r="O9" i="65"/>
  <c r="Y11" i="65"/>
  <c r="Y9" i="65"/>
  <c r="X30" i="65"/>
  <c r="N24" i="65"/>
  <c r="Z21" i="65"/>
  <c r="I26" i="65"/>
  <c r="I9" i="65"/>
  <c r="I17" i="65"/>
  <c r="I13" i="65"/>
  <c r="W9" i="65"/>
  <c r="W8" i="65"/>
  <c r="Z22" i="65"/>
  <c r="X24" i="65"/>
  <c r="Y13" i="65"/>
  <c r="L13" i="65"/>
  <c r="Y14" i="65"/>
  <c r="X23" i="65"/>
  <c r="Z18" i="65"/>
  <c r="I27" i="65"/>
  <c r="Z24" i="65"/>
  <c r="O13" i="65"/>
  <c r="X28" i="65"/>
  <c r="I28" i="65"/>
  <c r="I10" i="65"/>
  <c r="N21" i="65"/>
  <c r="X25" i="65"/>
  <c r="N17" i="65"/>
  <c r="I20" i="65"/>
  <c r="N16" i="65"/>
  <c r="O11" i="65"/>
  <c r="I14" i="65"/>
  <c r="I19" i="65"/>
  <c r="W10" i="65"/>
  <c r="N18" i="65"/>
  <c r="I25" i="65"/>
  <c r="X22" i="65"/>
  <c r="Y10" i="65"/>
  <c r="O10" i="65"/>
  <c r="Y12" i="65"/>
  <c r="W12" i="65"/>
  <c r="Z27" i="65"/>
  <c r="N28" i="65"/>
  <c r="N27" i="65"/>
  <c r="X27" i="65"/>
  <c r="L10" i="65"/>
  <c r="W14" i="65"/>
  <c r="I23" i="65"/>
  <c r="N19" i="65"/>
  <c r="Z17" i="65"/>
  <c r="Z28" i="65"/>
  <c r="L9" i="65"/>
  <c r="W11" i="65"/>
  <c r="Z26" i="65"/>
  <c r="I21" i="65"/>
  <c r="Z23" i="65"/>
  <c r="W13" i="65"/>
  <c r="X19" i="65"/>
  <c r="N23" i="65"/>
  <c r="N20" i="65"/>
  <c r="N26" i="65"/>
  <c r="Y16" i="65"/>
  <c r="I16" i="65"/>
  <c r="Z30" i="65"/>
  <c r="N22" i="65"/>
  <c r="X20" i="65"/>
  <c r="I24" i="65"/>
  <c r="N25" i="65"/>
  <c r="X26" i="65"/>
  <c r="I12" i="65"/>
  <c r="L11" i="65"/>
  <c r="Z25" i="65"/>
  <c r="C6" i="4037" l="1"/>
  <c r="C6" i="4038"/>
  <c r="C6" i="4021"/>
  <c r="C176" i="4038"/>
  <c r="C175" i="4038" s="1"/>
  <c r="C176" i="4037"/>
  <c r="C175" i="4037" s="1"/>
  <c r="C176" i="4022"/>
  <c r="C175" i="4022" s="1"/>
  <c r="C176" i="4020"/>
  <c r="C175" i="4020" s="1"/>
  <c r="C176" i="4021"/>
  <c r="C175" i="4021" s="1"/>
  <c r="C6" i="4022"/>
  <c r="C6" i="4019"/>
  <c r="C6" i="4018"/>
  <c r="C6" i="4020"/>
  <c r="C6" i="4032"/>
  <c r="C6" i="4030"/>
  <c r="C6" i="4033"/>
  <c r="C6" i="4029"/>
  <c r="C6" i="4028"/>
  <c r="C6" i="4023"/>
  <c r="C6" i="4025"/>
  <c r="C6" i="4031"/>
  <c r="C6" i="4035"/>
  <c r="C6" i="4027"/>
  <c r="C6" i="4026"/>
  <c r="C6" i="4024"/>
  <c r="C6" i="4034"/>
  <c r="H30" i="65"/>
  <c r="M30" i="65" s="1"/>
  <c r="H28" i="65"/>
  <c r="M28" i="65" s="1"/>
  <c r="H16" i="65"/>
  <c r="M16" i="65" s="1"/>
  <c r="H23" i="65"/>
  <c r="M23" i="65" s="1"/>
  <c r="H27" i="65"/>
  <c r="M27" i="65" s="1"/>
  <c r="H19" i="65"/>
  <c r="M19" i="65" s="1"/>
  <c r="H21" i="65"/>
  <c r="M21" i="65" s="1"/>
  <c r="H24" i="65"/>
  <c r="M24" i="65" s="1"/>
  <c r="H26" i="65"/>
  <c r="M26" i="65" s="1"/>
  <c r="H25" i="65"/>
  <c r="M25" i="65" s="1"/>
  <c r="H18" i="65"/>
  <c r="M18" i="65" s="1"/>
  <c r="H20" i="65"/>
  <c r="M20" i="65" s="1"/>
  <c r="H17" i="65"/>
  <c r="M17" i="65" s="1"/>
  <c r="H22" i="65"/>
  <c r="M22" i="65" s="1"/>
  <c r="X10" i="65"/>
  <c r="X11" i="65"/>
  <c r="X9" i="65"/>
  <c r="N13" i="65"/>
  <c r="X13" i="65"/>
  <c r="Z10" i="65"/>
  <c r="O14" i="65"/>
  <c r="O12" i="65"/>
  <c r="Z14" i="65"/>
  <c r="N9" i="65"/>
  <c r="N14" i="65"/>
  <c r="Z12" i="65"/>
  <c r="Z11" i="65"/>
  <c r="Z13" i="65"/>
  <c r="N12" i="65"/>
  <c r="N10" i="65"/>
  <c r="N11" i="65"/>
  <c r="H12" i="65" l="1"/>
  <c r="M12" i="65" s="1"/>
  <c r="H14" i="65"/>
  <c r="M14" i="65" s="1"/>
  <c r="H13" i="65"/>
  <c r="M13" i="65" s="1"/>
  <c r="H11" i="65"/>
  <c r="M11" i="65" s="1"/>
  <c r="H10" i="65"/>
  <c r="M10" i="65" s="1"/>
  <c r="H9" i="65"/>
  <c r="M9" i="65" s="1"/>
  <c r="Z8" i="65"/>
  <c r="Z9" i="65"/>
  <c r="M8" i="65" l="1"/>
</calcChain>
</file>

<file path=xl/sharedStrings.xml><?xml version="1.0" encoding="utf-8"?>
<sst xmlns="http://schemas.openxmlformats.org/spreadsheetml/2006/main" count="6794" uniqueCount="529">
  <si>
    <t>Berekening basisbedragen</t>
  </si>
  <si>
    <t>Auteur</t>
  </si>
  <si>
    <t>OT-model Sander Lensink, Chris Henriquez</t>
  </si>
  <si>
    <t>Datum</t>
  </si>
  <si>
    <t>Versie</t>
  </si>
  <si>
    <t>Verantwoording</t>
  </si>
  <si>
    <t>Contactinformatie voor deze rekensheet: sde@pbl.nl.</t>
  </si>
  <si>
    <t>Kleurcodering bij gebruik OT-model</t>
  </si>
  <si>
    <t>Tabelkop</t>
  </si>
  <si>
    <t>Tabelinhoud</t>
  </si>
  <si>
    <t>Resultaat</t>
  </si>
  <si>
    <t>Berekening</t>
  </si>
  <si>
    <t>Vaste of generieke waarde</t>
  </si>
  <si>
    <t>Invulveld</t>
  </si>
  <si>
    <t>Instellingen</t>
  </si>
  <si>
    <t>Jaar</t>
  </si>
  <si>
    <t>SDE of SCE</t>
  </si>
  <si>
    <t>SCE</t>
  </si>
  <si>
    <t>Aantal decimalen in rapportage</t>
  </si>
  <si>
    <t>Domein</t>
  </si>
  <si>
    <t>CCS/CCU</t>
  </si>
  <si>
    <t>Elektriciteit</t>
  </si>
  <si>
    <t>Hogetemperatuurwarmte</t>
  </si>
  <si>
    <t>Lagetemperatuurwarmte</t>
  </si>
  <si>
    <t>Moleculen</t>
  </si>
  <si>
    <t>Generiek</t>
  </si>
  <si>
    <t>OVERZICHTSTABEL</t>
  </si>
  <si>
    <t>Berekeningswijze
correctiebedrag netlevering</t>
  </si>
  <si>
    <t>Berekeningswijze 
correctiebedrag niet-netlevering</t>
  </si>
  <si>
    <t>Langetermijnprijs 
netlevering</t>
  </si>
  <si>
    <t>Langetermijnprijs
 niet-netlevering</t>
  </si>
  <si>
    <t>Berekende 
voorlopig correctiebedrag 
incl. GvO, incl. negatieve uurblokken</t>
  </si>
  <si>
    <t>Berekende 
voorlopig correctiebedrag 
incl. GvO, excl. negatieve uurblokken</t>
  </si>
  <si>
    <t>Bodemprijs of basisprijs niet-netlevering</t>
  </si>
  <si>
    <t>Sheet</t>
  </si>
  <si>
    <t>Parameter</t>
  </si>
  <si>
    <t>Productietype</t>
  </si>
  <si>
    <t>Basisbedrag</t>
  </si>
  <si>
    <t>Berekeningswijze correctiebedrag</t>
  </si>
  <si>
    <t xml:space="preserve">Emissiefactor  </t>
  </si>
  <si>
    <t>Langetermijnprijs (productprijs en correcties)</t>
  </si>
  <si>
    <t>Langetermijn-prijs (gewogen)</t>
  </si>
  <si>
    <t>Voorlopige GvO-waarde</t>
  </si>
  <si>
    <t>Voorlopige HBE-waarde</t>
  </si>
  <si>
    <t>Langetermijn-waarde ETS-correctie</t>
  </si>
  <si>
    <t>Basisbedrag afgetopt</t>
  </si>
  <si>
    <t>Bodemprijs of basisprijs</t>
  </si>
  <si>
    <t>Voorlopig correctiebedrag</t>
  </si>
  <si>
    <t xml:space="preserve">Voorlopige GVO-waarde </t>
  </si>
  <si>
    <t>Voorlopige waarde ETS-correctie</t>
  </si>
  <si>
    <t>Vollasturen</t>
  </si>
  <si>
    <t>Warmte-kracht-verhouding</t>
  </si>
  <si>
    <t>Berekening-wijze ETS-voordeel</t>
  </si>
  <si>
    <t>[Methode-ID]</t>
  </si>
  <si>
    <t>(netlevering / niet-netlevering)</t>
  </si>
  <si>
    <t>Eenheid van de paramater</t>
  </si>
  <si>
    <t>[eenheid]</t>
  </si>
  <si>
    <t>[€/eenheid]</t>
  </si>
  <si>
    <r>
      <t>[kg CO</t>
    </r>
    <r>
      <rPr>
        <vertAlign val="subscript"/>
        <sz val="10"/>
        <color theme="0"/>
        <rFont val="Arial"/>
        <family val="2"/>
      </rPr>
      <t>2</t>
    </r>
    <r>
      <rPr>
        <sz val="10"/>
        <color theme="0"/>
        <rFont val="Arial"/>
        <family val="2"/>
      </rPr>
      <t>/eenheid]</t>
    </r>
  </si>
  <si>
    <t>[uur/jaar]</t>
  </si>
  <si>
    <t>[W/K]</t>
  </si>
  <si>
    <t>[Correctie-ID]</t>
  </si>
  <si>
    <t>Aantal decimalen</t>
  </si>
  <si>
    <t>Toelichting</t>
  </si>
  <si>
    <t>B</t>
  </si>
  <si>
    <t>D</t>
  </si>
  <si>
    <t>C=e+f+g+h</t>
  </si>
  <si>
    <t>e</t>
  </si>
  <si>
    <t>f</t>
  </si>
  <si>
    <t>g</t>
  </si>
  <si>
    <t>h</t>
  </si>
  <si>
    <t>BB=AA*D+C</t>
  </si>
  <si>
    <t>Zonne-energie</t>
  </si>
  <si>
    <t>Windenergie</t>
  </si>
  <si>
    <t>Energie uit water</t>
  </si>
  <si>
    <t>Berekeninswijzen productprijzen</t>
  </si>
  <si>
    <t>Methode-ID</t>
  </si>
  <si>
    <t>Omschrijving</t>
  </si>
  <si>
    <t>Categorie</t>
  </si>
  <si>
    <t>Waarde</t>
  </si>
  <si>
    <t>Formule</t>
  </si>
  <si>
    <t>1.1</t>
  </si>
  <si>
    <t>Elektriciteit (negatieve uren meegenomen)</t>
  </si>
  <si>
    <t>EPEX1</t>
  </si>
  <si>
    <t>LT_e</t>
  </si>
  <si>
    <t>2/3 x LT_e</t>
  </si>
  <si>
    <t>Elektriciteit (negatieve uren niet meegenomen)</t>
  </si>
  <si>
    <t>EPEX2</t>
  </si>
  <si>
    <t>4.1</t>
  </si>
  <si>
    <t>Elektriciteit-WOL (negatieve uren meegenomen)</t>
  </si>
  <si>
    <t>EPEX1 x PIF_WOL1</t>
  </si>
  <si>
    <t>LT_e x LT_PIF_WOL</t>
  </si>
  <si>
    <t>2/3 x LT_e x LT_PIF_WOL</t>
  </si>
  <si>
    <t>EPEX1 x PIF_WOL</t>
  </si>
  <si>
    <t>GVO_e</t>
  </si>
  <si>
    <t>4.3</t>
  </si>
  <si>
    <t>Elektriciteit-WOL (negatieve uren niet meegenomen)</t>
  </si>
  <si>
    <t>EPEX2 x PIF_WOL2</t>
  </si>
  <si>
    <t>EPEX2 x PIF_WOL</t>
  </si>
  <si>
    <t>6.1</t>
  </si>
  <si>
    <t>Elektriciteit-ZonPV-netlevering (negatieve uren meegenomen)</t>
  </si>
  <si>
    <t>EPEX1 x PIF_PV1</t>
  </si>
  <si>
    <t>LT_e x LT_PIF_PV</t>
  </si>
  <si>
    <t>2/3 x LT_e x LT_PIF_PV</t>
  </si>
  <si>
    <t>EPEX1 x PIF_PV</t>
  </si>
  <si>
    <t>Elektriciteit-ZonPV-netlevering (negatieve uren niet meegenomen)</t>
  </si>
  <si>
    <t>EPEX2 x PIF_PV2</t>
  </si>
  <si>
    <t>EPEX2 x PIF_PV</t>
  </si>
  <si>
    <t>7.1</t>
  </si>
  <si>
    <t>Elektricteit-ZonPV-niet-netlevering, klein (negatieve uren meegenomen)</t>
  </si>
  <si>
    <t>EPEX1 x PIF_PV + EB3_e + ODE3_e + transport</t>
  </si>
  <si>
    <t>LT_e x LT_PIF_PV + EB3_e + transport</t>
  </si>
  <si>
    <t>2/3 x LT_e x LT_PIF_PV + EB3_e + transport</t>
  </si>
  <si>
    <t>7.3</t>
  </si>
  <si>
    <t>Elektricteit-ZonPV-niet-netlevering, klein (negatieve uren niet meegenomen)</t>
  </si>
  <si>
    <t>EPEX2 x PIF_PV + EB3_e + ODE3_e + transport</t>
  </si>
  <si>
    <t>Elektricteit-ZonPV-niet-netlevering, groot (negatieve uren niet meegenomen)</t>
  </si>
  <si>
    <t>EPEX2 x PIF_PV + EB3_e + ODE3_e</t>
  </si>
  <si>
    <t>LT_e x LT_PIF_PV + EB3_e</t>
  </si>
  <si>
    <t>2/3 x LT_e x LT_PIF_PV + EB3_e</t>
  </si>
  <si>
    <t>Berekeninswijzen overige correcties: GvO</t>
  </si>
  <si>
    <t>Voorlopige correcties 2025</t>
  </si>
  <si>
    <t>Type bate</t>
  </si>
  <si>
    <t>Berekeningswijze</t>
  </si>
  <si>
    <t>Elektriciteit-WOL</t>
  </si>
  <si>
    <t>GvO</t>
  </si>
  <si>
    <t>Gelijk aan de meest recente waarde</t>
  </si>
  <si>
    <t>Elektriciteit-ZonPV-netlevering</t>
  </si>
  <si>
    <t>Berekeninswijzen overige correcties: HBE</t>
  </si>
  <si>
    <t>Benzine</t>
  </si>
  <si>
    <t>HBE</t>
  </si>
  <si>
    <t>Benzine/diesel</t>
  </si>
  <si>
    <t>LNG</t>
  </si>
  <si>
    <t>FT</t>
  </si>
  <si>
    <t>Berekeninswijzen overige correcties: ETS</t>
  </si>
  <si>
    <t>ETS-correctie-ID</t>
  </si>
  <si>
    <t>Eenheid</t>
  </si>
  <si>
    <t>Geen ETS-correctie</t>
  </si>
  <si>
    <t>CCS 100% ETS-correctie</t>
  </si>
  <si>
    <r>
      <t>t CO</t>
    </r>
    <r>
      <rPr>
        <vertAlign val="subscript"/>
        <sz val="11"/>
        <rFont val="Arial"/>
        <family val="2"/>
      </rPr>
      <t>2</t>
    </r>
  </si>
  <si>
    <t>EUA</t>
  </si>
  <si>
    <t>LT_CO2</t>
  </si>
  <si>
    <t>Warmte 100% ETS-correctie</t>
  </si>
  <si>
    <r>
      <t>kWh</t>
    </r>
    <r>
      <rPr>
        <vertAlign val="subscript"/>
        <sz val="11"/>
        <rFont val="Arial"/>
        <family val="2"/>
      </rPr>
      <t>th</t>
    </r>
  </si>
  <si>
    <t>ETS_max_warmte</t>
  </si>
  <si>
    <t>LT_ETS_max_warmte</t>
  </si>
  <si>
    <t>Elektrificatie offshore platforms</t>
  </si>
  <si>
    <r>
      <t>kWh</t>
    </r>
    <r>
      <rPr>
        <vertAlign val="subscript"/>
        <sz val="11"/>
        <rFont val="Arial"/>
        <family val="2"/>
      </rPr>
      <t>e,input</t>
    </r>
  </si>
  <si>
    <t>Gasbesparing_EOP * (Ef_gas * 0,0036) / 1000 * EUA * (100%-Niet_CL_offshore_gas)</t>
  </si>
  <si>
    <t>Gasbesparing_EOP * (Ef_gas * 3,6/1000) / 1000 * LT_CO2 * (100%-Niet_CL_offshore_gas)</t>
  </si>
  <si>
    <t>Restwarmte zonder warmtepomp levering aan stadverwarming</t>
  </si>
  <si>
    <t>ETS_max_warmte * Allocatie_gratis_EUA_warmtenet</t>
  </si>
  <si>
    <t>LT_ETS_max_warmte * Allocatie_gratis_EUA_warmtenet</t>
  </si>
  <si>
    <t>Restwarmte met warmtepomp levering aan stadverwarming</t>
  </si>
  <si>
    <t>projectspecifiek</t>
  </si>
  <si>
    <t>ETS_max_warmte * Allocatie_gratis_EUA_warmtenet*(COP-1)/COP</t>
  </si>
  <si>
    <t>LT_ETS_max_warmte * Allocatie_gratis_EUA_warmtenet * (COP-1)/COP</t>
  </si>
  <si>
    <t>Hernieuwbare warmte met warmtepomp</t>
  </si>
  <si>
    <t>ETS_max_warmte * (COP-1)/COP</t>
  </si>
  <si>
    <t>LT_ETS_max_warmte * (COP-1)/COP</t>
  </si>
  <si>
    <t>Hernieuwbare warmte zonder warmtepomp levering aan stadsverwarming</t>
  </si>
  <si>
    <t>ETS_max_warmte * D_ketel_warmtenet_inflex</t>
  </si>
  <si>
    <t>LT_ETS_max_warmte * D_ketel_warmtenet_inflex</t>
  </si>
  <si>
    <t>Hernieuwbare warmte met warmtepomp levering aan stadsverwarming</t>
  </si>
  <si>
    <t>ETS_max_warmte * D_ketel_warmtenet_inflex * Allocatie_gratis_EUA_warmtenet * (COP-1)/COP</t>
  </si>
  <si>
    <t>LT_ETS_max_warmte * D_ketel_warmtenet_inflex * Allocatie_gratis_EUA_warmtenet * (COP-1)/COP</t>
  </si>
  <si>
    <t>Elektrische boiler levering aan stadsverwarming</t>
  </si>
  <si>
    <t>ETS_max_warmte * D_ketel_warmtenet_flex * (1 - Allocatie_gratis_EUA_warmtenet)</t>
  </si>
  <si>
    <t>LT_ETS_max_warmte * D_ketel_warmtenet_flex * (1 - Allocatie_gratis_EUA_warmtenet)</t>
  </si>
  <si>
    <t>Waterstof 100% ETS-correctie</t>
  </si>
  <si>
    <t>kWhHHV H2</t>
  </si>
  <si>
    <t>ETS_max_waterstof</t>
  </si>
  <si>
    <t>LT_ETS_max_waterstof</t>
  </si>
  <si>
    <t>12</t>
  </si>
  <si>
    <t>Waterstof uit afval</t>
  </si>
  <si>
    <t>ETS_max_waterstof * (1 - AVI_CO2)</t>
  </si>
  <si>
    <t>LT_ETS_max_waterstof * (1 - AVI_CO2)</t>
  </si>
  <si>
    <t>13</t>
  </si>
  <si>
    <t>ETS-correctie CCS AVI</t>
  </si>
  <si>
    <t>t CO2</t>
  </si>
  <si>
    <t>EUA * %_niet_biogeen_CO2</t>
  </si>
  <si>
    <t>LT_CO2 * %_niet_biogeen_CO2</t>
  </si>
  <si>
    <t>Parameterwaardes</t>
  </si>
  <si>
    <t>Recent</t>
  </si>
  <si>
    <r>
      <t>Berekeningswijze</t>
    </r>
    <r>
      <rPr>
        <vertAlign val="superscript"/>
        <sz val="11"/>
        <color theme="0"/>
        <rFont val="Arial"/>
        <family val="2"/>
      </rPr>
      <t>1</t>
    </r>
  </si>
  <si>
    <t>Lange termijn</t>
  </si>
  <si>
    <t>Elektriciteitsprijs (inclusief negatieve uren)</t>
  </si>
  <si>
    <t>€/kWh</t>
  </si>
  <si>
    <t>Gemiddelde EPEX (day-ahead) periode 1-9-2023 t/m 31-8-2024 incl negatieve uren</t>
  </si>
  <si>
    <t>Elektriciteitsprijs (negatieve uren niet meegenomen)</t>
  </si>
  <si>
    <t>Langetermijnelektriciteitsprijs</t>
  </si>
  <si>
    <t>PIF_WOL1</t>
  </si>
  <si>
    <t>Profiel- en onbalansfactor wind op land (tot 2016)</t>
  </si>
  <si>
    <t>PIF_WOL2</t>
  </si>
  <si>
    <t>Profiel- en onbalansfactor wind op land (vanaf 2023)</t>
  </si>
  <si>
    <t>LT_PIF_WOL</t>
  </si>
  <si>
    <t>Langetermijnprofiel- en langetermijnonbalansfactor wind op land</t>
  </si>
  <si>
    <t>PIF_PV1</t>
  </si>
  <si>
    <t>Profiel- en onbalansfactor zon-PV (tot 2016)</t>
  </si>
  <si>
    <t>PIF_PV2</t>
  </si>
  <si>
    <t>Profiel- en onbalansfactor zon-PV (vanaf 2023)</t>
  </si>
  <si>
    <t>LT_PIF_PV</t>
  </si>
  <si>
    <t>Langetermijnprofiel- en langetermijnonbalansfactor zon-PV</t>
  </si>
  <si>
    <t>TTF[HHV]</t>
  </si>
  <si>
    <t>Gasprijs in bovenwaarde</t>
  </si>
  <si>
    <r>
      <t>€/kWh</t>
    </r>
    <r>
      <rPr>
        <vertAlign val="subscript"/>
        <sz val="11"/>
        <rFont val="Arial"/>
        <family val="2"/>
      </rPr>
      <t>HHV</t>
    </r>
  </si>
  <si>
    <t>LT_g[HHV]</t>
  </si>
  <si>
    <t>Langetermijngasprijs in bovenwaarde</t>
  </si>
  <si>
    <t>TTF[LHV]</t>
  </si>
  <si>
    <t>Gasprijs in onderwaarde</t>
  </si>
  <si>
    <r>
      <t>€/kWh</t>
    </r>
    <r>
      <rPr>
        <vertAlign val="subscript"/>
        <sz val="11"/>
        <rFont val="Arial"/>
        <family val="2"/>
      </rPr>
      <t>LHV</t>
    </r>
  </si>
  <si>
    <t>LT_g[LHV]</t>
  </si>
  <si>
    <t>Langetermijngasprijs in onderwaarde</t>
  </si>
  <si>
    <t>AVI_CO2</t>
  </si>
  <si>
    <t>Fossiele fractie van CO2-uitstoot bij AVI's</t>
  </si>
  <si>
    <t>1 - percentage biogeen in emissiefactor</t>
  </si>
  <si>
    <t>Prijs CO2-emissierechten</t>
  </si>
  <si>
    <r>
      <t>€/tCO</t>
    </r>
    <r>
      <rPr>
        <vertAlign val="subscript"/>
        <sz val="11"/>
        <rFont val="Arial"/>
        <family val="2"/>
      </rPr>
      <t>2</t>
    </r>
  </si>
  <si>
    <t>Langetermijn-CO2-prijs</t>
  </si>
  <si>
    <t>transport</t>
  </si>
  <si>
    <t>Marginale transporttarieven</t>
  </si>
  <si>
    <t>Transporttarieven op de lange termijn</t>
  </si>
  <si>
    <t>WK</t>
  </si>
  <si>
    <t>Warmtekrachtverhouding</t>
  </si>
  <si>
    <t>Categorie-specifiek</t>
  </si>
  <si>
    <t>Categorie-specifiek en vast gedurende looptijd va beschikking</t>
  </si>
  <si>
    <t>EB3_e</t>
  </si>
  <si>
    <t>Energiebelasting elektriciteit, 3e schijf</t>
  </si>
  <si>
    <t>EB1</t>
  </si>
  <si>
    <t>Energiebelasting gas, 1e schijf</t>
  </si>
  <si>
    <t>EB2</t>
  </si>
  <si>
    <t>Energiebelasting gas, 2e schijf</t>
  </si>
  <si>
    <t>EB3</t>
  </si>
  <si>
    <t>Energiebelasting gas, 3e schijf</t>
  </si>
  <si>
    <t>ol</t>
  </si>
  <si>
    <t>Kale pompprijs benzine</t>
  </si>
  <si>
    <t>LT_ol</t>
  </si>
  <si>
    <t>Langetermijn kale pompprijs benzine</t>
  </si>
  <si>
    <t>dies</t>
  </si>
  <si>
    <t>Kale pompprijs dieselprijs</t>
  </si>
  <si>
    <t>LT_dies</t>
  </si>
  <si>
    <t>Langetermijn kale pompprijs diesel</t>
  </si>
  <si>
    <t>ketel_co2</t>
  </si>
  <si>
    <r>
      <t>CO2 vermeden door tuinder per gasinput</t>
    </r>
    <r>
      <rPr>
        <vertAlign val="superscript"/>
        <sz val="11"/>
        <rFont val="Arial"/>
        <family val="2"/>
      </rPr>
      <t>3</t>
    </r>
  </si>
  <si>
    <r>
      <t>kg CO</t>
    </r>
    <r>
      <rPr>
        <vertAlign val="subscript"/>
        <sz val="11"/>
        <rFont val="Arial"/>
        <family val="2"/>
      </rPr>
      <t>2</t>
    </r>
    <r>
      <rPr>
        <sz val="11"/>
        <rFont val="Arial"/>
        <family val="2"/>
      </rPr>
      <t>/kWh</t>
    </r>
    <r>
      <rPr>
        <vertAlign val="subscript"/>
        <sz val="11"/>
        <rFont val="Arial"/>
        <family val="2"/>
      </rPr>
      <t>LHV</t>
    </r>
  </si>
  <si>
    <r>
      <t>Emissiefactor van gas aardgas (RVO) en gemiddelde reductiecoëfficiënt van 0,93.</t>
    </r>
    <r>
      <rPr>
        <vertAlign val="superscript"/>
        <sz val="11"/>
        <rFont val="Arial"/>
        <family val="2"/>
      </rPr>
      <t>5</t>
    </r>
  </si>
  <si>
    <t>wkk_co2</t>
  </si>
  <si>
    <r>
      <t>CO2 vermeden door tuinder per elektriciteitsoutput</t>
    </r>
    <r>
      <rPr>
        <vertAlign val="superscript"/>
        <sz val="11"/>
        <rFont val="Arial"/>
        <family val="2"/>
      </rPr>
      <t>4</t>
    </r>
  </si>
  <si>
    <r>
      <t>kg CO</t>
    </r>
    <r>
      <rPr>
        <vertAlign val="subscript"/>
        <sz val="11"/>
        <rFont val="Arial"/>
        <family val="2"/>
      </rPr>
      <t>2</t>
    </r>
    <r>
      <rPr>
        <sz val="11"/>
        <rFont val="Arial"/>
        <family val="2"/>
      </rPr>
      <t>/kWh</t>
    </r>
    <r>
      <rPr>
        <vertAlign val="subscript"/>
        <sz val="11"/>
        <rFont val="Arial"/>
        <family val="2"/>
      </rPr>
      <t>e</t>
    </r>
  </si>
  <si>
    <r>
      <t>Emissiefactor van gas aardgas (RVO) en gemiddelde reductiecoëfficiënt van 0,93.</t>
    </r>
    <r>
      <rPr>
        <vertAlign val="superscript"/>
        <sz val="11"/>
        <rFont val="Arial"/>
        <family val="2"/>
      </rPr>
      <t>6</t>
    </r>
  </si>
  <si>
    <t>Garantie van Oorsprong voor elektriciteit</t>
  </si>
  <si>
    <r>
      <t>€/kWh</t>
    </r>
    <r>
      <rPr>
        <vertAlign val="subscript"/>
        <sz val="11"/>
        <rFont val="Arial"/>
        <family val="2"/>
      </rPr>
      <t>e</t>
    </r>
  </si>
  <si>
    <r>
      <t>HBE</t>
    </r>
    <r>
      <rPr>
        <vertAlign val="superscript"/>
        <sz val="11"/>
        <rFont val="Arial"/>
        <family val="2"/>
      </rPr>
      <t>7</t>
    </r>
  </si>
  <si>
    <t>Hernieuwbare Brandstofeenheid</t>
  </si>
  <si>
    <t>ef_aardgas</t>
  </si>
  <si>
    <t>Emissiefactor aardgas</t>
  </si>
  <si>
    <r>
      <t>kg CO</t>
    </r>
    <r>
      <rPr>
        <vertAlign val="subscript"/>
        <sz val="11"/>
        <rFont val="Arial"/>
        <family val="2"/>
      </rPr>
      <t>2</t>
    </r>
    <r>
      <rPr>
        <sz val="11"/>
        <rFont val="Arial"/>
        <family val="2"/>
      </rPr>
      <t>/GJ</t>
    </r>
    <r>
      <rPr>
        <vertAlign val="subscript"/>
        <sz val="11"/>
        <rFont val="Arial"/>
        <family val="2"/>
      </rPr>
      <t>LHV</t>
    </r>
  </si>
  <si>
    <t xml:space="preserve">Nederlandse lijst van energiedragers en standaard CO2 emissiefactoren, RVO (2024) </t>
  </si>
  <si>
    <t>co2_transp_kost</t>
  </si>
  <si>
    <t>CO2 transportkosten</t>
  </si>
  <si>
    <t>co2_vermeden_opex_wkk_ketel</t>
  </si>
  <si>
    <t>Vermeden O&amp;M WKK/ketel bij tuinder</t>
  </si>
  <si>
    <r>
      <t>Op basis van  KWIN (2017), met verhouding 90% WKK en 10% ketel</t>
    </r>
    <r>
      <rPr>
        <vertAlign val="superscript"/>
        <sz val="11"/>
        <rFont val="Arial"/>
        <family val="2"/>
      </rPr>
      <t>8</t>
    </r>
  </si>
  <si>
    <t>LT_co2_verm_opex</t>
  </si>
  <si>
    <t>Langetermijn vermeden O&amp;M WKK/ketel bij tuinder</t>
  </si>
  <si>
    <r>
      <t>Op basis van  KWIN (2017), met verhouding 90% WKK en 10% ketel</t>
    </r>
    <r>
      <rPr>
        <vertAlign val="superscript"/>
        <sz val="11"/>
        <rFont val="Arial"/>
        <family val="2"/>
      </rPr>
      <t>9</t>
    </r>
  </si>
  <si>
    <t>eff_gasketel</t>
  </si>
  <si>
    <t>Rendement gasketel</t>
  </si>
  <si>
    <r>
      <t>Voorlopige waarde van de maximale kosten voor ETS</t>
    </r>
    <r>
      <rPr>
        <vertAlign val="superscript"/>
        <sz val="11"/>
        <rFont val="Arial"/>
        <family val="2"/>
      </rPr>
      <t>10</t>
    </r>
  </si>
  <si>
    <r>
      <t>€/kWh</t>
    </r>
    <r>
      <rPr>
        <vertAlign val="subscript"/>
        <sz val="11"/>
        <rFont val="Arial"/>
        <family val="2"/>
      </rPr>
      <t>th</t>
    </r>
  </si>
  <si>
    <t>Allocatie_gratis_EUA_warmtenet</t>
  </si>
  <si>
    <t>Percentage gratis gealloceerde rechten bij levering aan warmtenet</t>
  </si>
  <si>
    <t>D_ketel_warmtenet_inflex</t>
  </si>
  <si>
    <t>Aanname aandeel gasketelwarmtevervanging in warmtenet (niet-flexibele warmte)</t>
  </si>
  <si>
    <t>D_ketel_warmtenet_flex</t>
  </si>
  <si>
    <t>Aanname aandeel gasketelwarmtevervanging in warmtenet (flexibele warmte)</t>
  </si>
  <si>
    <t>Niet_CL_offshore_gas</t>
  </si>
  <si>
    <t>Aandeel niet-Carbon-Leakage-gevoelig offshore gaswinning in EU ETS-fase 4</t>
  </si>
  <si>
    <t>COP</t>
  </si>
  <si>
    <t>Coefficient of Performance, ook wel Seasonal Performance Factor (SPF)</t>
  </si>
  <si>
    <t>Gasbesparing_EOP</t>
  </si>
  <si>
    <t>Verhouding vermeden aardgas op gebruikte elektriciteit</t>
  </si>
  <si>
    <r>
      <t>kWh</t>
    </r>
    <r>
      <rPr>
        <vertAlign val="subscript"/>
        <sz val="11"/>
        <rFont val="Arial"/>
        <family val="2"/>
      </rPr>
      <t xml:space="preserve">LHV </t>
    </r>
    <r>
      <rPr>
        <sz val="11"/>
        <rFont val="Arial"/>
        <family val="2"/>
      </rPr>
      <t>gas/kWh</t>
    </r>
    <r>
      <rPr>
        <vertAlign val="subscript"/>
        <sz val="11"/>
        <rFont val="Arial"/>
        <family val="2"/>
      </rPr>
      <t>e,input</t>
    </r>
  </si>
  <si>
    <t>Dit is een vast getal dat is berekend op basis van informatie uit de marktconsultatie</t>
  </si>
  <si>
    <t>Emfac_waterstof</t>
  </si>
  <si>
    <r>
      <t>SMR heeft een emissiefactor van 9 kg CO</t>
    </r>
    <r>
      <rPr>
        <vertAlign val="subscript"/>
        <sz val="11"/>
        <rFont val="Arial"/>
        <family val="2"/>
      </rPr>
      <t>2</t>
    </r>
    <r>
      <rPr>
        <sz val="11"/>
        <rFont val="Arial"/>
        <family val="2"/>
      </rPr>
      <t xml:space="preserve"> /r kg H</t>
    </r>
    <r>
      <rPr>
        <vertAlign val="subscript"/>
        <sz val="11"/>
        <rFont val="Arial"/>
        <family val="2"/>
      </rPr>
      <t>2</t>
    </r>
    <r>
      <rPr>
        <sz val="11"/>
        <rFont val="Arial"/>
        <family val="2"/>
      </rPr>
      <t xml:space="preserve"> (0,229 kg CO</t>
    </r>
    <r>
      <rPr>
        <vertAlign val="subscript"/>
        <sz val="11"/>
        <rFont val="Arial"/>
        <family val="2"/>
      </rPr>
      <t>2</t>
    </r>
    <r>
      <rPr>
        <sz val="11"/>
        <rFont val="Arial"/>
        <family val="2"/>
      </rPr>
      <t xml:space="preserve"> / kWh</t>
    </r>
    <r>
      <rPr>
        <vertAlign val="subscript"/>
        <sz val="11"/>
        <rFont val="Arial"/>
        <family val="2"/>
      </rPr>
      <t>HHV</t>
    </r>
    <r>
      <rPr>
        <sz val="11"/>
        <rFont val="Arial"/>
        <family val="2"/>
      </rPr>
      <t xml:space="preserve"> H</t>
    </r>
    <r>
      <rPr>
        <vertAlign val="subscript"/>
        <sz val="11"/>
        <rFont val="Arial"/>
        <family val="2"/>
      </rPr>
      <t>2</t>
    </r>
    <r>
      <rPr>
        <sz val="11"/>
        <rFont val="Arial"/>
        <family val="2"/>
      </rPr>
      <t>)</t>
    </r>
  </si>
  <si>
    <r>
      <t>kg CO</t>
    </r>
    <r>
      <rPr>
        <vertAlign val="subscript"/>
        <sz val="11"/>
        <rFont val="Arial"/>
        <family val="2"/>
      </rPr>
      <t>2</t>
    </r>
    <r>
      <rPr>
        <sz val="11"/>
        <rFont val="Arial"/>
        <family val="2"/>
      </rPr>
      <t>/kWh</t>
    </r>
    <r>
      <rPr>
        <vertAlign val="subscript"/>
        <sz val="11"/>
        <rFont val="Arial"/>
        <family val="2"/>
      </rPr>
      <t>HHV</t>
    </r>
    <r>
      <rPr>
        <sz val="11"/>
        <rFont val="Arial"/>
        <family val="2"/>
      </rPr>
      <t xml:space="preserve"> H</t>
    </r>
    <r>
      <rPr>
        <vertAlign val="subscript"/>
        <sz val="11"/>
        <rFont val="Arial"/>
        <family val="2"/>
      </rPr>
      <t>2</t>
    </r>
  </si>
  <si>
    <t>Techno-Economic Evaluation of SMR Based Standalone (Merchant) Hydrogen Plant with CCS</t>
  </si>
  <si>
    <t>Alle gemiddelden zijn ongewogen.</t>
  </si>
  <si>
    <t>Exclusief de uren met negatieve prijzen.</t>
  </si>
  <si>
    <t>Uitgaande van ketel in tuinbouw.</t>
  </si>
  <si>
    <t>WKK tuinbouw.</t>
  </si>
  <si>
    <t xml:space="preserve">De ratio die is genomen voor het gas dat een tuinder bespaart nu hij zelf niet meer die CO2 hoeft te genereren, per CO2 die hij krijgt geleverd. Bron reductiecoefficient: WEcR-studie (Van der velden &amp; Smit, 2020). </t>
  </si>
  <si>
    <t>Zie voetnoot 5 en met de aanname dat het elektrisch rendement van de WKK 37.5% is.</t>
  </si>
  <si>
    <t>Vermenigvuldigd met 2 (omdat elke geproduceerde geavanceerde hernieuwbare brandstofeenheid 2 HBE’s krijgt).</t>
  </si>
  <si>
    <t>Iinflatie t/m 2022.</t>
  </si>
  <si>
    <t>Inflatie t/m 7,5 jaar vooruit.</t>
  </si>
  <si>
    <t>Indien alle rechten zouden moeten worden ingekocht (per kWh geleverde warmte), indien de warmte zou zijn opgewekt met aardgas in een ketel (rekening houdend met een aangenomen ketelrendement en emissiefactor van gas)</t>
  </si>
  <si>
    <t>Zon-pv 15 – 100 kWp (kva, referentie 60 kWp, net 70%)</t>
  </si>
  <si>
    <t>BASISBEDRAG en SUBSIDIE-INTENSITEIT</t>
  </si>
  <si>
    <t>Het basisbedrag is een maat voor de productiekosten. Deze waarde kan berekend worden als alleen deze worksheet geopend is.</t>
  </si>
  <si>
    <t>Subsidie-intensiteit</t>
  </si>
  <si>
    <t>Euro/t CO2</t>
  </si>
  <si>
    <t>De subsidie-intensiteit is de maat die in de rangschikking gebruikt wordt. Om deze waarde te berekenen dient ook de worksheet 'Correcties' geopend te zijn.</t>
  </si>
  <si>
    <t>Productie-eenheid</t>
  </si>
  <si>
    <t>kWh</t>
  </si>
  <si>
    <t>De SCE kent twee rekeneenheden waarover subsidie kan worden uitgekeerd: kWh voor energiecategorieën en t CO2 voor CCS- en CCU-categorieën.</t>
  </si>
  <si>
    <t>Vermogenseenheid</t>
  </si>
  <si>
    <t>kW</t>
  </si>
  <si>
    <t>Het corresponderende domein bij deze categorie geeft aan binnen welk 'hekje' de subsidiecategorie valt.</t>
  </si>
  <si>
    <t>CORRECTIEMETHODES</t>
  </si>
  <si>
    <t>Typering</t>
  </si>
  <si>
    <t>Berekeningswijze correctiebedrag methode-ID</t>
  </si>
  <si>
    <t>Berekeningswijze ETS-correctie-ID</t>
  </si>
  <si>
    <t>ETS-voordeel bij merendeel van projecten?</t>
  </si>
  <si>
    <t>Geen warmte</t>
  </si>
  <si>
    <t>Ja of Nee</t>
  </si>
  <si>
    <t>Alleen van belang voor warmteprojecten. Deze parameter werkt door op de langetermijnprijs en subsidie-intensiteit.</t>
  </si>
  <si>
    <t>Berekeningswijze correctiebedrag methode-ID netlevering</t>
  </si>
  <si>
    <t>Berekeningswijze correctiebedrag methode-ID niet-netlevering</t>
  </si>
  <si>
    <t>Netlevering deel</t>
  </si>
  <si>
    <t>Voor SCE is het deel netlevering niet relevant</t>
  </si>
  <si>
    <t>Niet-netlevering deel</t>
  </si>
  <si>
    <t>Voor SCE is het deel niet-netlevering (eigen verbruik) niet relevant</t>
  </si>
  <si>
    <t>SYSTEEMGROOTTE</t>
  </si>
  <si>
    <t>Inputvermogen</t>
  </si>
  <si>
    <r>
      <rPr>
        <i/>
        <sz val="10"/>
        <rFont val="Arial"/>
        <family val="2"/>
      </rPr>
      <t xml:space="preserve">Seasonal Performance Factor </t>
    </r>
    <r>
      <rPr>
        <sz val="10"/>
        <rFont val="Arial"/>
        <family val="2"/>
      </rPr>
      <t>(SPF)</t>
    </r>
  </si>
  <si>
    <r>
      <t xml:space="preserve">Hier wordt de seizoensgemiddelde COP, of </t>
    </r>
    <r>
      <rPr>
        <i/>
        <sz val="10"/>
        <rFont val="Arial"/>
        <family val="2"/>
      </rPr>
      <t>Seasonal performance factor</t>
    </r>
    <r>
      <rPr>
        <sz val="10"/>
        <rFont val="Arial"/>
        <family val="2"/>
      </rPr>
      <t>, mee bedoeld voor het hele systeem.</t>
    </r>
  </si>
  <si>
    <t>Gaat het om een installatie voor hernieuwbaar gas?</t>
  </si>
  <si>
    <t>Alleen 'Ja' invullen als de installatie gas van aardgaskwaliteit produceert.</t>
  </si>
  <si>
    <t xml:space="preserve">    Methaangehalte hernieuwbaar gas voor gaszuivering</t>
  </si>
  <si>
    <t>Het percentage methaan in het biogas, dat nog niet tot aardgaskwaliteit is opgewaardeerd.</t>
  </si>
  <si>
    <t xml:space="preserve">    Vermogen hernieuwbaargasproductie (voor zuivering)</t>
  </si>
  <si>
    <t>Nm3/uur</t>
  </si>
  <si>
    <t>Outputvermogen (thermisch of hernieuwbaar gas)</t>
  </si>
  <si>
    <t>Dit veld alleen invullen bij productie van warmte (al dan niet in WKK-variant) of hernieuwbaar gas van aardgaskwaleit</t>
  </si>
  <si>
    <t xml:space="preserve">    Outputvermogen (hernieuwbaar gas)</t>
  </si>
  <si>
    <t>Outputvermogen (elektrisch of overig)</t>
  </si>
  <si>
    <t>Dit veld invullen als de installatie elektriciteit produceert (al dan niet in WKK-variant), of iets anders dan warmte of gas van aardgaskwaliteit produceert.</t>
  </si>
  <si>
    <t>Vollasturen levering (thermisch of hernieuwbaar gas)</t>
  </si>
  <si>
    <t>uur/jaar</t>
  </si>
  <si>
    <t>Bij een installatie voor gecombineerde opwekking, wordt de bedrijfstijd automatisch genomen als maximum van de vollasturen warmte en vollasturen elektriciteit.</t>
  </si>
  <si>
    <t>Vollasturen levering  (elektrisch of overig)</t>
  </si>
  <si>
    <t>ENERGETISCH RENDEMENT</t>
  </si>
  <si>
    <t>Max. elektrisch rendement</t>
  </si>
  <si>
    <t>Elektrisch rendement</t>
  </si>
  <si>
    <t>Thermisch rendement of rendement gasproductie</t>
  </si>
  <si>
    <t>Elektriciteitsderving bij warmtelevering</t>
  </si>
  <si>
    <t>elektriciteit : warmte</t>
  </si>
  <si>
    <t>Enkel invullen als de installatie een WKK-installatie is waarbij warmtelevering ten koste gaat van de elektriciteitsproductie.</t>
  </si>
  <si>
    <t>KOSTEN</t>
  </si>
  <si>
    <t xml:space="preserve">    Investeringskosten input gebaseerd</t>
  </si>
  <si>
    <t>De investeringskosten 'input gebaseerd' worden opgeteld bij de investeringskosten 'output gebaseerd'. Pas op voor onbedoelde dubbeltelling.</t>
  </si>
  <si>
    <t xml:space="preserve">    Investeringskosten output gebaseerd</t>
  </si>
  <si>
    <t>Totale investeringskosten</t>
  </si>
  <si>
    <t>Euro (miljoen)</t>
  </si>
  <si>
    <t xml:space="preserve">    Vaste operationele kosten input gebaseerd</t>
  </si>
  <si>
    <t>De operationele kosten 'input gebaseerd' worden opgeteld bij de investeringskosten 'output gebaseerd'. Pas op voor onbedoelde dubbeltelling.</t>
  </si>
  <si>
    <t xml:space="preserve">    Vaste operationele kosten output gebaseerd</t>
  </si>
  <si>
    <t>Totale jaarlijkse vaste operationele kosten</t>
  </si>
  <si>
    <t>Euro (duizend)</t>
  </si>
  <si>
    <t>Deze waarde wordt ter illustratie getoond.</t>
  </si>
  <si>
    <t xml:space="preserve">    Kosten elektriciteitsverbruik</t>
  </si>
  <si>
    <t xml:space="preserve">    Kosten gasverbruik</t>
  </si>
  <si>
    <t xml:space="preserve">    Kosten warmteverbruik</t>
  </si>
  <si>
    <t xml:space="preserve">    Overige variabele operationele kosten</t>
  </si>
  <si>
    <t>Totale variabele operationele kosten</t>
  </si>
  <si>
    <t>ENERGIEGEBRUIK</t>
  </si>
  <si>
    <t>Energie-inhoud brandstof</t>
  </si>
  <si>
    <t>GJ/ton</t>
  </si>
  <si>
    <t>Biomassadoorzet</t>
  </si>
  <si>
    <t>ton/jaar</t>
  </si>
  <si>
    <t>Netto brandstofprijs</t>
  </si>
  <si>
    <t>Euro/ton</t>
  </si>
  <si>
    <t>Hier wordt de brandstofprijs aan de poort bedoeld, inclusief eventuele risico-opslag.</t>
  </si>
  <si>
    <t xml:space="preserve">Relatief elektriciteitsgebruik </t>
  </si>
  <si>
    <t>Elektriciteitsgebruik</t>
  </si>
  <si>
    <t>MWh/jaar</t>
  </si>
  <si>
    <t>Relatief warmtegebruik</t>
  </si>
  <si>
    <t xml:space="preserve">Warmtegebruik </t>
  </si>
  <si>
    <t>Relatief aardgasgebruik</t>
  </si>
  <si>
    <t>Aardgasgebruik</t>
  </si>
  <si>
    <t>EMISSIEFACTOREN</t>
  </si>
  <si>
    <t>Emissiefactor van warmteproductie per eenheid</t>
  </si>
  <si>
    <t>Emissiefactor van elektriciteitsproductie of overig per eenheid</t>
  </si>
  <si>
    <t>Emissiefactor van gasproductie per eenheid</t>
  </si>
  <si>
    <t>Emissiefactor gebruik van biomassa</t>
  </si>
  <si>
    <t>kg CO2/ton</t>
  </si>
  <si>
    <t>De waarde die hier getoond wordt, is afhankelijk aan de uitgangspunten in de adviesvraag.</t>
  </si>
  <si>
    <t>Emissiefactor gebruik van warmte</t>
  </si>
  <si>
    <t>kg CO2/kWh</t>
  </si>
  <si>
    <t>Emissiefactor gebruik van elektriciteit</t>
  </si>
  <si>
    <t>Emissiefactor gebruik van gas</t>
  </si>
  <si>
    <t>Vermeden emissies</t>
  </si>
  <si>
    <t>TERMIJNEN</t>
  </si>
  <si>
    <t>Economische levensduur</t>
  </si>
  <si>
    <t>jaar</t>
  </si>
  <si>
    <t>Deze waarde wordt gebruikt om eventuele inkomsten van het project na subsidieperiode te berekenen.</t>
  </si>
  <si>
    <t>Termijn lening</t>
  </si>
  <si>
    <t xml:space="preserve">Afschrijvingstermijn </t>
  </si>
  <si>
    <t>Beleidsperiode</t>
  </si>
  <si>
    <t>Totale operationale periode</t>
  </si>
  <si>
    <t>Deze waarde wordt gebruikt om de vermeden emissies gedurende de hele operationele periode van de installatie te berekenen.</t>
  </si>
  <si>
    <t>PARAMETERS NA SUBSIDIEPERIODE</t>
  </si>
  <si>
    <t>Elektriciteitsprijs na subsidieperiode</t>
  </si>
  <si>
    <t>nvt (was 0.0545)</t>
  </si>
  <si>
    <t>Euro/kWh</t>
  </si>
  <si>
    <t>Deze prijs is inclusief de profiel- en onbalansfactor.</t>
  </si>
  <si>
    <t>Vollasturen na subsidieperiode elektriciteit of overige</t>
  </si>
  <si>
    <t>nvt (was 845)</t>
  </si>
  <si>
    <t>Prijs warmte of hernieuwbaar gas na subsidieperiode</t>
  </si>
  <si>
    <t>Vollasturen na subsidieperiode warmte of hernieuwbaar gas</t>
  </si>
  <si>
    <t>Totaal geproduceerde eenheden subsidieperiode</t>
  </si>
  <si>
    <t>Totale geproduceerde eenheden bedrijfsperiode</t>
  </si>
  <si>
    <t>Verrekeningsfactor bespaarde emissies</t>
  </si>
  <si>
    <t>FINANCIËLE PARAMETERS</t>
  </si>
  <si>
    <t>Inflatie</t>
  </si>
  <si>
    <t>Rendement op vreemd vermogen</t>
  </si>
  <si>
    <t>Rendement op eigen vermogen</t>
  </si>
  <si>
    <t>Percentage vreemd vermogen in investering</t>
  </si>
  <si>
    <t>Percentage eigen vermogen in investering</t>
  </si>
  <si>
    <t>Vennootschapsbelasting</t>
  </si>
  <si>
    <t>INVESTERINGSSUBSIDIES</t>
  </si>
  <si>
    <t>Investeringssubsidie t.g.v. vreemd vermogen</t>
  </si>
  <si>
    <t>Euro</t>
  </si>
  <si>
    <t>Investeringssubsidie t.g.v. eigen vermogen (NCW)</t>
  </si>
  <si>
    <t>ONREGELMATIGE CASHFLOWS</t>
  </si>
  <si>
    <t>Voer in cel kolom C het jaar in waarin de onregelmatige cashflow plaatsvindt en in kolom D de reële kosten (als negatieve waarde) in dat specifieke jaar.</t>
  </si>
  <si>
    <t>Afsluitprovisie op lening handmatig</t>
  </si>
  <si>
    <t>Indien de afsluitprovisie handmatig moet worden ingevoerd, voer dan in cel C103 het bedrag van de afsluitprovisie.</t>
  </si>
  <si>
    <t>Afsluitprovisie als percentage van lening</t>
  </si>
  <si>
    <t>Deze afsluitprovisie wordt verrekend in de totale investeringskosten en is gedefinieerd als percentage van de lening.</t>
  </si>
  <si>
    <t>SUBSIDIE-INKOMSTEN (niet invullen voor basisbedragberekening)</t>
  </si>
  <si>
    <t>Basisbedrag (deze cellen kunnen gebruikt worden om de inkomsten toe te voegen)</t>
  </si>
  <si>
    <t>Correctiebedrag (deze cellen kunnen gebruikt worden om de inkomsten toe te voegen)</t>
  </si>
  <si>
    <t>Inflator</t>
  </si>
  <si>
    <t>index</t>
  </si>
  <si>
    <r>
      <t xml:space="preserve">Tabel: </t>
    </r>
    <r>
      <rPr>
        <sz val="10"/>
        <color rgb="FFFFFF00"/>
        <rFont val="Arial"/>
        <family val="2"/>
      </rPr>
      <t>Nominale kasstroom (positieve bedragen = gunstig voor de producent)</t>
    </r>
  </si>
  <si>
    <t>INITIELE INVESTERING</t>
  </si>
  <si>
    <t>Investering</t>
  </si>
  <si>
    <t>AFZET</t>
  </si>
  <si>
    <t>Afzet elektriciteit of overige</t>
  </si>
  <si>
    <t>Afzet warmte</t>
  </si>
  <si>
    <t>Afzet hernieuwbaar gas</t>
  </si>
  <si>
    <t>kWh (HHV)</t>
  </si>
  <si>
    <t>Afzet</t>
  </si>
  <si>
    <t>KOSTEN EN INKOMSTEN</t>
  </si>
  <si>
    <t>Operationele kosten</t>
  </si>
  <si>
    <t>Brandstofkosten (biomassa)</t>
  </si>
  <si>
    <t>Marktwaarde elektriciteit na einde beleidsperiode</t>
  </si>
  <si>
    <t>Marktwaarde warmte of hernieuwbaar gas na einde beleidsperiode</t>
  </si>
  <si>
    <t>Correctiebedrag</t>
  </si>
  <si>
    <t>SDE-vergoeding</t>
  </si>
  <si>
    <t>Marktinkomsten na einde beleidsperiode</t>
  </si>
  <si>
    <t>Marktinkomsten gedurende beleidsperiode</t>
  </si>
  <si>
    <t>TOTALE KOSTEN EN INKOMSTEN</t>
  </si>
  <si>
    <t>Inkomen totaal (nominaal)</t>
  </si>
  <si>
    <t>Kosten totaal (nominaal)</t>
  </si>
  <si>
    <t>Bruto inkomen (nominaal)</t>
  </si>
  <si>
    <t>AFSCHRIJVING EN SCHULDEN</t>
  </si>
  <si>
    <t>Afschrijving</t>
  </si>
  <si>
    <t>Rente</t>
  </si>
  <si>
    <t>Aflossing</t>
  </si>
  <si>
    <t>Totale lasten lening</t>
  </si>
  <si>
    <t>BELASTING</t>
  </si>
  <si>
    <t>Belastbaar inkomen</t>
  </si>
  <si>
    <t>Belasting bedrag</t>
  </si>
  <si>
    <t>CASHFLOWS</t>
  </si>
  <si>
    <t>Netto inkomen na belasting</t>
  </si>
  <si>
    <t>Project cashflow</t>
  </si>
  <si>
    <t>Equity cashflow</t>
  </si>
  <si>
    <t>Subsidiebasis: afzet</t>
  </si>
  <si>
    <t>Terug te verdienen investering</t>
  </si>
  <si>
    <t>DSCR</t>
  </si>
  <si>
    <t>Projectparameters</t>
  </si>
  <si>
    <t>Verdisconteerde inkomsten</t>
  </si>
  <si>
    <t>euro</t>
  </si>
  <si>
    <t>Verdisconteerde afzet</t>
  </si>
  <si>
    <t>Totale investering</t>
  </si>
  <si>
    <t>DSCR (gemiddeld)</t>
  </si>
  <si>
    <t>Vermogenskostenvergoeding (WACC nominaal/reëel)</t>
  </si>
  <si>
    <t>Projectrendement (IRR)</t>
  </si>
  <si>
    <t>Rendement op eigen vermogen (IRR)</t>
  </si>
  <si>
    <t>Aandeel lening</t>
  </si>
  <si>
    <t>Aandeel eigen vermogen</t>
  </si>
  <si>
    <t>W:E</t>
  </si>
  <si>
    <t>Samengesteld aantal vollasturen</t>
  </si>
  <si>
    <t>Terugverdientijd (inclusief SCE-subsidie)</t>
  </si>
  <si>
    <t>Subsidieparameters</t>
  </si>
  <si>
    <t>Bodemprijs of basisprijs (netlevering/niet-netlevering)</t>
  </si>
  <si>
    <t>Bodemprijs of basisprijs netlevering</t>
  </si>
  <si>
    <t>Langetermijnprijs</t>
  </si>
  <si>
    <t>Langetermijnwaarde ETS-correctie</t>
  </si>
  <si>
    <t>Langetermijnprijs netlevering</t>
  </si>
  <si>
    <t>Langetermijnprijs niet-netlevering</t>
  </si>
  <si>
    <t>Conversiefactoren</t>
  </si>
  <si>
    <t>Verbrandingswaarde methaan (onderwaarde)</t>
  </si>
  <si>
    <t>MJ/Nm3</t>
  </si>
  <si>
    <t>Verbrandingswaarde hernieuwbaar gas (onderwaarde)</t>
  </si>
  <si>
    <t>Verbrandingswaarde hernieuwbaar gas (bovenwaarde)</t>
  </si>
  <si>
    <t>kWh naar MJ</t>
  </si>
  <si>
    <t>MJ/kWh</t>
  </si>
  <si>
    <t>Zon-pv 15 – 500 kWp (gva, referentie 150 kWp, net 50%)</t>
  </si>
  <si>
    <t>n.v.t.</t>
  </si>
  <si>
    <t>Voer in cel kolom C het jaar in waarin de onregelmatige cashflow plaatsvindt en in kolom D97 de reële kosten (als negatieve waarde) in dat specifieke jaar.</t>
  </si>
  <si>
    <t>Zon-pv gebouwgebonden 500 kWp - 6 MWp (gva, referentie 2,5 MWp, net 50%)</t>
  </si>
  <si>
    <t>Zon-pv grondgebonden 500 kWp - 6 MWp (gva, referentie 10 MWp, net 50%)</t>
  </si>
  <si>
    <t>Zon-pv grondgebonden natuurinclusief 500 kWp - 6 MWp (gva, referentie 10 MWp, net 50%)</t>
  </si>
  <si>
    <t>Zon-pv drijvend op water 500 kWp - 6 MWp (gva, referentie 10 MWp, net 50%)</t>
  </si>
  <si>
    <t>Zon-pv drijvend op water natuurinclusief 500 kWp - 6 MWp (gva, referentie 10 MWp, net 50%)</t>
  </si>
  <si>
    <t>Windenergie, 15 kW op kva</t>
  </si>
  <si>
    <t>Enkel relevant voor zon-pv. Aandeel van de productie dat aan het net wordt geleverd.</t>
  </si>
  <si>
    <t>Enkel relevant voor zon-pv. Aandeel eigen gebruik.</t>
  </si>
  <si>
    <t>Windenergie, 1 MW – windsnelheid &gt; 8,50 m/s, op gva</t>
  </si>
  <si>
    <t>Windenergie, 1 MW – windsnelheid 8,00 - 8,50 m/s op gva</t>
  </si>
  <si>
    <t>Windenergie, 1 MW – windsnelheid 7,50 - 8,00 m/s op gva</t>
  </si>
  <si>
    <t>Windenergie, 1 MW – windsnelheid 7,00 - 7,50 m/s op gva</t>
  </si>
  <si>
    <t>Windenergie, 1 MW – windsnelheid 6,75 - 7,00 m/s op gva</t>
  </si>
  <si>
    <t>Windenergie, 1 MW – windsnelheid &lt; 6,75 m/s op gva</t>
  </si>
  <si>
    <t>Windenergie, tot 6MW – windsnelheid &gt; 8,50 m/s, (referentie 15 MW, gva)</t>
  </si>
  <si>
    <t>Windenergie, tot 6MW – windsnelheid 8,00 - 8,50 m/s, (referentie 15 MW, gva)</t>
  </si>
  <si>
    <t>Windenergie, tot 6MW – windsnelheid 7,50 - 8,00 m/s, (referentie 15 MW, gva)</t>
  </si>
  <si>
    <t>Windenergie, tot 6MW – windsnelheid 7,00 - 7,50 m/s, (referentie 15 MW, gva)</t>
  </si>
  <si>
    <t>Windenergie, tot 6MW – windsnelheid 6,75 - 7,00 m/s, (referentie 15 MW, gva)</t>
  </si>
  <si>
    <t>Windenergie, tot 6MW – windsnelheid &lt; 6,75  m/s, (referentie 15 MW, gva)</t>
  </si>
  <si>
    <t>Waterkracht</t>
  </si>
  <si>
    <t>.</t>
  </si>
  <si>
    <t>Gemiddelde EPEX (day-ahead) periode 1-9-2023 t/m 31-8-2024 excl negatieve uren</t>
  </si>
  <si>
    <t>Ongewogen gemiddelde reële prijzen elektriciteit basislast periode 2025-2039 (KEV2024)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</si>
</sst>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_(* \(#,##0.00\);_(* &quot;-&quot;??_);_(@_)"/>
    <numFmt numFmtId="165" formatCode="_ * #,##0.00_ ;_ * \-#,##0.00_ ;_ * &quot;-&quot;??_ ;_ @_ "/>
    <numFmt numFmtId="166" formatCode="0.000"/>
    <numFmt numFmtId="167" formatCode="0.0"/>
    <numFmt numFmtId="168" formatCode="0;\-0;&quot;-&quot;"/>
    <numFmt numFmtId="169" formatCode="0%;\-0%;&quot;n.v.t.&quot;"/>
    <numFmt numFmtId="170" formatCode="_-* #,##0.00_-;_-* #,##0.00\-;_-* &quot;-&quot;??_-;_-@_-"/>
    <numFmt numFmtId="171" formatCode="0.0000"/>
    <numFmt numFmtId="172" formatCode="0.0%"/>
    <numFmt numFmtId="173" formatCode="#,###,###,###,###;\-#,###,###,###,###;&quot;-&quot;"/>
    <numFmt numFmtId="174" formatCode="#,##0.000_ ;\-#,##0.000;&quot;-&quot;"/>
    <numFmt numFmtId="175" formatCode="_(* #,##0_);_(* \(#,##0\);_(* &quot;-&quot;??_);_(@_)"/>
    <numFmt numFmtId="176" formatCode="0.000%"/>
    <numFmt numFmtId="177" formatCode="0.00;\-0.00;&quot;-&quot;"/>
    <numFmt numFmtId="178" formatCode="0.00;\ \-0.00;\ &quot;-&quot;"/>
    <numFmt numFmtId="179" formatCode="[$-413]d\-mmm\-yy;@"/>
    <numFmt numFmtId="180" formatCode="0.00000"/>
    <numFmt numFmtId="181" formatCode="0.0000;\-0.0000;&quot;-&quot;"/>
    <numFmt numFmtId="182" formatCode="#,##0.0000_ ;\-#,##0.0000;&quot;-&quot;"/>
  </numFmts>
  <fonts count="45" x14ac:knownFonts="1">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2"/>
      <name val="Arial"/>
      <family val="2"/>
    </font>
    <font>
      <b/>
      <sz val="14"/>
      <name val="Arial"/>
      <family val="2"/>
    </font>
    <font>
      <u/>
      <sz val="11"/>
      <color theme="10"/>
      <name val="Calibri"/>
      <family val="2"/>
      <scheme val="minor"/>
    </font>
    <font>
      <b/>
      <sz val="11"/>
      <color rgb="FFFA7D00"/>
      <name val="Calibri"/>
      <family val="2"/>
      <scheme val="minor"/>
    </font>
    <font>
      <sz val="8"/>
      <name val="Calibri"/>
      <family val="2"/>
      <scheme val="minor"/>
    </font>
    <font>
      <sz val="11"/>
      <color rgb="FF3F3F76"/>
      <name val="Calibri"/>
      <family val="2"/>
      <scheme val="minor"/>
    </font>
    <font>
      <sz val="10"/>
      <color theme="0"/>
      <name val="Arial"/>
      <family val="2"/>
    </font>
    <font>
      <vertAlign val="subscript"/>
      <sz val="10"/>
      <color theme="0"/>
      <name val="Arial"/>
      <family val="2"/>
    </font>
    <font>
      <sz val="10"/>
      <color theme="1"/>
      <name val="Arial"/>
      <family val="2"/>
    </font>
    <font>
      <b/>
      <sz val="10"/>
      <color theme="1"/>
      <name val="Arial"/>
      <family val="2"/>
    </font>
    <font>
      <b/>
      <sz val="10"/>
      <color theme="0"/>
      <name val="Arial"/>
      <family val="2"/>
    </font>
    <font>
      <b/>
      <sz val="13"/>
      <color theme="0"/>
      <name val="Arial"/>
      <family val="2"/>
    </font>
    <font>
      <sz val="20"/>
      <name val="Arial"/>
      <family val="2"/>
    </font>
    <font>
      <b/>
      <sz val="10"/>
      <name val="Arial"/>
      <family val="2"/>
    </font>
    <font>
      <b/>
      <sz val="16"/>
      <name val="Arial"/>
      <family val="2"/>
    </font>
    <font>
      <sz val="14"/>
      <name val="Arial"/>
      <family val="2"/>
    </font>
    <font>
      <sz val="16"/>
      <name val="Arial"/>
      <family val="2"/>
    </font>
    <font>
      <b/>
      <sz val="10"/>
      <color rgb="FFFFFF00"/>
      <name val="Arial"/>
      <family val="2"/>
    </font>
    <font>
      <i/>
      <sz val="10"/>
      <name val="Arial"/>
      <family val="2"/>
    </font>
    <font>
      <i/>
      <sz val="10"/>
      <color rgb="FFFF0000"/>
      <name val="Arial"/>
      <family val="2"/>
    </font>
    <font>
      <sz val="10"/>
      <color rgb="FFFF0000"/>
      <name val="Arial"/>
      <family val="2"/>
    </font>
    <font>
      <sz val="10"/>
      <color indexed="10"/>
      <name val="Arial"/>
      <family val="2"/>
    </font>
    <font>
      <sz val="10"/>
      <color rgb="FFFFFF00"/>
      <name val="Arial"/>
      <family val="2"/>
    </font>
    <font>
      <b/>
      <sz val="11"/>
      <color theme="0"/>
      <name val="Arial"/>
      <family val="2"/>
    </font>
    <font>
      <b/>
      <sz val="12"/>
      <color theme="0"/>
      <name val="Arial"/>
      <family val="2"/>
    </font>
    <font>
      <sz val="11"/>
      <color theme="0"/>
      <name val="Arial"/>
      <family val="2"/>
    </font>
    <font>
      <sz val="12"/>
      <color theme="0"/>
      <name val="Arial"/>
      <family val="2"/>
    </font>
    <font>
      <sz val="11"/>
      <color theme="1"/>
      <name val="Arial"/>
      <family val="2"/>
    </font>
    <font>
      <vertAlign val="subscript"/>
      <sz val="11"/>
      <name val="Arial"/>
      <family val="2"/>
    </font>
    <font>
      <vertAlign val="superscript"/>
      <sz val="11"/>
      <color theme="0"/>
      <name val="Arial"/>
      <family val="2"/>
    </font>
    <font>
      <vertAlign val="superscript"/>
      <sz val="11"/>
      <name val="Arial"/>
      <family val="2"/>
    </font>
    <font>
      <u/>
      <sz val="10"/>
      <color theme="10"/>
      <name val="Arial Narrow"/>
      <family val="2"/>
    </font>
    <font>
      <sz val="10"/>
      <color theme="1"/>
      <name val="Verdana"/>
      <family val="2"/>
    </font>
    <font>
      <b/>
      <sz val="10"/>
      <color theme="1"/>
      <name val="Verdana"/>
      <family val="2"/>
    </font>
    <font>
      <sz val="10"/>
      <color theme="0"/>
      <name val="Arial"/>
      <family val="2"/>
    </font>
    <font>
      <sz val="10"/>
      <color rgb="FFFF0000"/>
      <name val="Arial"/>
      <family val="2"/>
    </font>
    <font>
      <sz val="10"/>
      <name val="Arial"/>
      <family val="2"/>
    </font>
    <font>
      <sz val="16"/>
      <name val="Arial"/>
      <family val="2"/>
    </font>
    <font>
      <b/>
      <sz val="10"/>
      <name val="Arial"/>
      <family val="2"/>
    </font>
    <font>
      <sz val="10"/>
      <color theme="1"/>
      <name val="Arial"/>
      <family val="2"/>
    </font>
  </fonts>
  <fills count="18">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F2F2F2"/>
      </patternFill>
    </fill>
    <fill>
      <patternFill patternType="solid">
        <fgColor rgb="FFFFCC99"/>
      </patternFill>
    </fill>
    <fill>
      <patternFill patternType="solid">
        <fgColor theme="0" tint="-0.249977111117893"/>
        <bgColor indexed="64"/>
      </patternFill>
    </fill>
    <fill>
      <patternFill patternType="solid">
        <fgColor rgb="FFD8E6C5"/>
        <bgColor indexed="64"/>
      </patternFill>
    </fill>
    <fill>
      <patternFill patternType="solid">
        <fgColor rgb="FF1A4222"/>
        <bgColor indexed="64"/>
      </patternFill>
    </fill>
    <fill>
      <patternFill patternType="solid">
        <fgColor rgb="FF006E9A"/>
        <bgColor indexed="64"/>
      </patternFill>
    </fill>
    <fill>
      <patternFill patternType="solid">
        <fgColor rgb="FFA5D1F2"/>
        <bgColor indexed="64"/>
      </patternFill>
    </fill>
    <fill>
      <patternFill patternType="solid">
        <fgColor rgb="FFF3D696"/>
        <bgColor indexed="64"/>
      </patternFill>
    </fill>
    <fill>
      <patternFill patternType="solid">
        <fgColor rgb="FFBFBFBF"/>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39">
    <border>
      <left/>
      <right/>
      <top/>
      <bottom/>
      <diagonal/>
    </border>
    <border>
      <left/>
      <right style="thin">
        <color theme="0"/>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theme="0"/>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theme="0"/>
      </top>
      <bottom style="thin">
        <color theme="0"/>
      </bottom>
      <diagonal/>
    </border>
    <border>
      <left/>
      <right style="medium">
        <color indexed="64"/>
      </right>
      <top/>
      <bottom style="thin">
        <color rgb="FFCCCCCC"/>
      </bottom>
      <diagonal/>
    </border>
    <border>
      <left/>
      <right style="medium">
        <color indexed="64"/>
      </right>
      <top style="thin">
        <color rgb="FFCCCCCC"/>
      </top>
      <bottom style="thin">
        <color rgb="FFCCCCCC"/>
      </bottom>
      <diagonal/>
    </border>
    <border>
      <left style="medium">
        <color indexed="64"/>
      </left>
      <right/>
      <top style="thin">
        <color theme="0"/>
      </top>
      <bottom style="medium">
        <color indexed="64"/>
      </bottom>
      <diagonal/>
    </border>
    <border>
      <left/>
      <right style="medium">
        <color indexed="64"/>
      </right>
      <top style="thin">
        <color rgb="FFCCCCCC"/>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thin">
        <color indexed="64"/>
      </top>
      <bottom/>
      <diagonal/>
    </border>
    <border>
      <left/>
      <right/>
      <top style="thin">
        <color indexed="64"/>
      </top>
      <bottom style="thin">
        <color indexed="64"/>
      </bottom>
      <diagonal/>
    </border>
    <border>
      <left/>
      <right style="thin">
        <color theme="0" tint="-0.14996795556505021"/>
      </right>
      <top/>
      <bottom/>
      <diagonal/>
    </border>
    <border>
      <left style="thin">
        <color theme="0"/>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70" fontId="2" fillId="0" borderId="0" applyFont="0" applyFill="0" applyBorder="0" applyAlignment="0" applyProtection="0"/>
    <xf numFmtId="0" fontId="2" fillId="0" borderId="0"/>
    <xf numFmtId="165" fontId="1" fillId="0" borderId="0" applyFont="0" applyFill="0" applyBorder="0" applyAlignment="0" applyProtection="0"/>
    <xf numFmtId="0" fontId="7" fillId="0" borderId="0" applyNumberFormat="0" applyFill="0" applyBorder="0" applyAlignment="0" applyProtection="0"/>
    <xf numFmtId="0" fontId="8" fillId="4" borderId="8" applyNumberFormat="0" applyAlignment="0" applyProtection="0"/>
    <xf numFmtId="0" fontId="10" fillId="5" borderId="8" applyNumberFormat="0" applyAlignment="0" applyProtection="0"/>
  </cellStyleXfs>
  <cellXfs count="463">
    <xf numFmtId="0" fontId="0" fillId="0" borderId="0" xfId="0"/>
    <xf numFmtId="0" fontId="3" fillId="0" borderId="0" xfId="3" applyFont="1" applyAlignment="1">
      <alignment vertical="center"/>
    </xf>
    <xf numFmtId="0" fontId="3" fillId="0" borderId="0" xfId="3" applyFont="1" applyAlignment="1">
      <alignment horizontal="left" vertical="center"/>
    </xf>
    <xf numFmtId="0" fontId="4" fillId="0" borderId="0" xfId="3" applyFont="1" applyAlignment="1">
      <alignment horizontal="left" vertical="center"/>
    </xf>
    <xf numFmtId="0" fontId="5" fillId="0" borderId="0" xfId="3" applyFont="1" applyAlignment="1">
      <alignment horizontal="left" vertical="center"/>
    </xf>
    <xf numFmtId="0" fontId="6" fillId="0" borderId="0" xfId="3" applyFont="1" applyAlignment="1">
      <alignment horizontal="left" vertical="center"/>
    </xf>
    <xf numFmtId="171" fontId="13" fillId="0" borderId="0" xfId="8" applyNumberFormat="1" applyFont="1" applyFill="1" applyBorder="1" applyAlignment="1">
      <alignment horizontal="center" vertical="center"/>
    </xf>
    <xf numFmtId="1" fontId="13" fillId="0" borderId="0" xfId="8" applyNumberFormat="1" applyFont="1" applyFill="1" applyBorder="1" applyAlignment="1">
      <alignment horizontal="center" vertical="center"/>
    </xf>
    <xf numFmtId="171" fontId="2" fillId="0" borderId="0" xfId="9" applyNumberFormat="1" applyFont="1" applyFill="1" applyBorder="1" applyAlignment="1">
      <alignment horizontal="center" vertical="center"/>
    </xf>
    <xf numFmtId="0" fontId="13" fillId="0" borderId="0" xfId="0" applyFont="1" applyAlignment="1">
      <alignment horizontal="center"/>
    </xf>
    <xf numFmtId="0" fontId="13" fillId="0" borderId="0" xfId="0" applyFont="1"/>
    <xf numFmtId="171" fontId="13" fillId="0" borderId="0" xfId="0" applyNumberFormat="1" applyFont="1" applyAlignment="1">
      <alignment horizontal="center"/>
    </xf>
    <xf numFmtId="171" fontId="13" fillId="0" borderId="0" xfId="0" applyNumberFormat="1" applyFont="1"/>
    <xf numFmtId="171" fontId="2" fillId="0" borderId="0" xfId="0" applyNumberFormat="1" applyFont="1" applyAlignment="1">
      <alignment horizontal="center"/>
    </xf>
    <xf numFmtId="177" fontId="13" fillId="0" borderId="0" xfId="0" applyNumberFormat="1" applyFont="1" applyAlignment="1">
      <alignment horizontal="center"/>
    </xf>
    <xf numFmtId="1" fontId="13" fillId="0" borderId="0" xfId="0" applyNumberFormat="1" applyFont="1" applyAlignment="1">
      <alignment horizontal="center"/>
    </xf>
    <xf numFmtId="0" fontId="2" fillId="0" borderId="0" xfId="3"/>
    <xf numFmtId="0" fontId="2" fillId="0" borderId="3" xfId="3" applyBorder="1"/>
    <xf numFmtId="0" fontId="2" fillId="0" borderId="5" xfId="3" applyBorder="1"/>
    <xf numFmtId="0" fontId="2" fillId="0" borderId="6" xfId="3" applyBorder="1"/>
    <xf numFmtId="0" fontId="2" fillId="0" borderId="7" xfId="3" applyBorder="1"/>
    <xf numFmtId="0" fontId="3" fillId="0" borderId="6" xfId="3" applyFont="1" applyBorder="1" applyAlignment="1">
      <alignment vertical="center"/>
    </xf>
    <xf numFmtId="0" fontId="3" fillId="0" borderId="7" xfId="3" applyFont="1" applyBorder="1" applyAlignment="1">
      <alignment vertical="center"/>
    </xf>
    <xf numFmtId="0" fontId="2" fillId="0" borderId="0" xfId="3" applyAlignment="1">
      <alignment horizontal="left" vertical="center"/>
    </xf>
    <xf numFmtId="0" fontId="2" fillId="0" borderId="10" xfId="3" applyBorder="1" applyAlignment="1">
      <alignment horizontal="center"/>
    </xf>
    <xf numFmtId="0" fontId="2" fillId="6" borderId="10" xfId="3" applyFill="1" applyBorder="1"/>
    <xf numFmtId="0" fontId="2" fillId="2" borderId="18" xfId="3" applyFill="1" applyBorder="1"/>
    <xf numFmtId="0" fontId="2" fillId="2" borderId="19" xfId="3" applyFill="1" applyBorder="1"/>
    <xf numFmtId="0" fontId="19" fillId="0" borderId="0" xfId="3" applyFont="1"/>
    <xf numFmtId="0" fontId="2" fillId="0" borderId="0" xfId="3" applyAlignment="1">
      <alignment horizontal="center"/>
    </xf>
    <xf numFmtId="0" fontId="20" fillId="0" borderId="0" xfId="3" applyFont="1"/>
    <xf numFmtId="0" fontId="21" fillId="0" borderId="0" xfId="3" applyFont="1"/>
    <xf numFmtId="0" fontId="21" fillId="0" borderId="0" xfId="3" applyFont="1" applyAlignment="1">
      <alignment horizontal="center"/>
    </xf>
    <xf numFmtId="9" fontId="21" fillId="0" borderId="0" xfId="3" applyNumberFormat="1" applyFont="1"/>
    <xf numFmtId="0" fontId="24" fillId="3" borderId="0" xfId="3" applyFont="1" applyFill="1" applyAlignment="1">
      <alignment horizontal="left"/>
    </xf>
    <xf numFmtId="0" fontId="25" fillId="0" borderId="0" xfId="3" applyFont="1"/>
    <xf numFmtId="0" fontId="25" fillId="3" borderId="0" xfId="3" applyFont="1" applyFill="1" applyAlignment="1">
      <alignment horizontal="left"/>
    </xf>
    <xf numFmtId="2" fontId="26" fillId="0" borderId="0" xfId="3" applyNumberFormat="1" applyFont="1" applyAlignment="1">
      <alignment horizontal="center"/>
    </xf>
    <xf numFmtId="0" fontId="2" fillId="2" borderId="18" xfId="3" applyFill="1" applyBorder="1" applyAlignment="1">
      <alignment horizontal="left"/>
    </xf>
    <xf numFmtId="0" fontId="2" fillId="0" borderId="0" xfId="3" applyAlignment="1" applyProtection="1">
      <alignment horizontal="center"/>
      <protection locked="0"/>
    </xf>
    <xf numFmtId="0" fontId="2" fillId="0" borderId="0" xfId="3" applyAlignment="1">
      <alignment horizontal="left"/>
    </xf>
    <xf numFmtId="13" fontId="2" fillId="0" borderId="0" xfId="4" applyNumberFormat="1" applyFont="1" applyFill="1" applyBorder="1" applyAlignment="1" applyProtection="1">
      <alignment horizontal="center"/>
      <protection locked="0"/>
    </xf>
    <xf numFmtId="0" fontId="2" fillId="6" borderId="0" xfId="4" applyNumberFormat="1" applyFont="1" applyFill="1" applyBorder="1" applyAlignment="1" applyProtection="1">
      <alignment horizontal="center"/>
      <protection locked="0"/>
    </xf>
    <xf numFmtId="0" fontId="2" fillId="2" borderId="19" xfId="3" applyFill="1" applyBorder="1" applyAlignment="1">
      <alignment horizontal="left"/>
    </xf>
    <xf numFmtId="172" fontId="2" fillId="6" borderId="0" xfId="3" applyNumberFormat="1" applyFill="1" applyAlignment="1" applyProtection="1">
      <alignment horizontal="center"/>
      <protection locked="0"/>
    </xf>
    <xf numFmtId="172" fontId="2" fillId="6" borderId="0" xfId="4" applyNumberFormat="1" applyFont="1" applyFill="1" applyBorder="1" applyAlignment="1" applyProtection="1">
      <alignment horizontal="center"/>
      <protection locked="0"/>
    </xf>
    <xf numFmtId="9" fontId="2" fillId="6" borderId="0" xfId="4" applyFont="1" applyFill="1" applyBorder="1" applyAlignment="1" applyProtection="1">
      <alignment horizontal="center"/>
      <protection locked="0"/>
    </xf>
    <xf numFmtId="172" fontId="2" fillId="6" borderId="9" xfId="4" applyNumberFormat="1" applyFont="1" applyFill="1" applyBorder="1" applyAlignment="1" applyProtection="1">
      <alignment horizontal="center"/>
      <protection locked="0"/>
    </xf>
    <xf numFmtId="0" fontId="2" fillId="6" borderId="0" xfId="3" applyFill="1" applyAlignment="1">
      <alignment horizontal="right"/>
    </xf>
    <xf numFmtId="0" fontId="2" fillId="6" borderId="9" xfId="3" applyFill="1" applyBorder="1" applyAlignment="1">
      <alignment horizontal="right"/>
    </xf>
    <xf numFmtId="0" fontId="2" fillId="6" borderId="9" xfId="2" applyNumberFormat="1" applyFont="1" applyFill="1" applyBorder="1" applyAlignment="1" applyProtection="1">
      <alignment horizontal="center"/>
      <protection locked="0"/>
    </xf>
    <xf numFmtId="173" fontId="2" fillId="0" borderId="0" xfId="3" applyNumberFormat="1"/>
    <xf numFmtId="0" fontId="11" fillId="0" borderId="0" xfId="3" applyFont="1"/>
    <xf numFmtId="166" fontId="2" fillId="0" borderId="0" xfId="3" applyNumberFormat="1" applyAlignment="1">
      <alignment vertical="center"/>
    </xf>
    <xf numFmtId="0" fontId="18" fillId="0" borderId="0" xfId="3" applyFont="1"/>
    <xf numFmtId="175" fontId="18" fillId="0" borderId="0" xfId="1" applyNumberFormat="1" applyFont="1" applyFill="1" applyBorder="1"/>
    <xf numFmtId="0" fontId="14" fillId="0" borderId="0" xfId="0" applyFont="1" applyAlignment="1">
      <alignment vertical="center"/>
    </xf>
    <xf numFmtId="0" fontId="2" fillId="2" borderId="2" xfId="3" applyFill="1" applyBorder="1" applyAlignment="1">
      <alignment horizontal="center"/>
    </xf>
    <xf numFmtId="1" fontId="2" fillId="2" borderId="2" xfId="3" applyNumberFormat="1" applyFill="1" applyBorder="1" applyAlignment="1">
      <alignment horizontal="center"/>
    </xf>
    <xf numFmtId="175" fontId="2" fillId="0" borderId="0" xfId="1" applyNumberFormat="1" applyFont="1"/>
    <xf numFmtId="175" fontId="2" fillId="0" borderId="0" xfId="3" applyNumberFormat="1"/>
    <xf numFmtId="9" fontId="2" fillId="0" borderId="0" xfId="3" applyNumberFormat="1"/>
    <xf numFmtId="0" fontId="2" fillId="2" borderId="2" xfId="3" quotePrefix="1" applyFill="1" applyBorder="1" applyAlignment="1">
      <alignment horizontal="center"/>
    </xf>
    <xf numFmtId="173" fontId="25" fillId="0" borderId="0" xfId="3" applyNumberFormat="1" applyFont="1"/>
    <xf numFmtId="1" fontId="2" fillId="0" borderId="0" xfId="3" applyNumberFormat="1" applyAlignment="1">
      <alignment horizontal="center"/>
    </xf>
    <xf numFmtId="0" fontId="2" fillId="2" borderId="18" xfId="0" applyFont="1" applyFill="1" applyBorder="1"/>
    <xf numFmtId="0" fontId="2" fillId="2" borderId="20" xfId="3" applyFill="1" applyBorder="1" applyAlignment="1">
      <alignment horizontal="center"/>
    </xf>
    <xf numFmtId="0" fontId="13" fillId="0" borderId="0" xfId="0" quotePrefix="1" applyFont="1" applyAlignment="1">
      <alignment wrapText="1"/>
    </xf>
    <xf numFmtId="0" fontId="2" fillId="2" borderId="19" xfId="0" applyFont="1" applyFill="1" applyBorder="1"/>
    <xf numFmtId="2" fontId="2" fillId="6" borderId="0" xfId="3" applyNumberFormat="1" applyFill="1" applyAlignment="1" applyProtection="1">
      <alignment horizontal="center"/>
      <protection locked="0"/>
    </xf>
    <xf numFmtId="167" fontId="2" fillId="6" borderId="9" xfId="3" applyNumberFormat="1" applyFill="1" applyBorder="1" applyAlignment="1" applyProtection="1">
      <alignment horizontal="center"/>
      <protection locked="0"/>
    </xf>
    <xf numFmtId="0" fontId="13" fillId="0" borderId="0" xfId="0" quotePrefix="1" applyFont="1"/>
    <xf numFmtId="0" fontId="28" fillId="0" borderId="0" xfId="0" applyFont="1"/>
    <xf numFmtId="0" fontId="30" fillId="0" borderId="0" xfId="0" applyFont="1"/>
    <xf numFmtId="0" fontId="3" fillId="0" borderId="0" xfId="0" applyFont="1"/>
    <xf numFmtId="166" fontId="3" fillId="0" borderId="0" xfId="0" applyNumberFormat="1" applyFont="1"/>
    <xf numFmtId="171" fontId="3" fillId="0" borderId="0" xfId="0" applyNumberFormat="1" applyFont="1" applyAlignment="1">
      <alignment horizontal="center"/>
    </xf>
    <xf numFmtId="49" fontId="3" fillId="0" borderId="0" xfId="0" quotePrefix="1" applyNumberFormat="1" applyFont="1"/>
    <xf numFmtId="171" fontId="3" fillId="0" borderId="0" xfId="0" quotePrefix="1" applyNumberFormat="1" applyFont="1" applyAlignment="1">
      <alignment horizontal="center"/>
    </xf>
    <xf numFmtId="0" fontId="32" fillId="0" borderId="0" xfId="0" applyFont="1" applyAlignment="1">
      <alignment horizontal="center"/>
    </xf>
    <xf numFmtId="0" fontId="32" fillId="0" borderId="0" xfId="0" applyFont="1"/>
    <xf numFmtId="0" fontId="3" fillId="0" borderId="0" xfId="0" applyFont="1" applyAlignment="1">
      <alignment horizontal="center"/>
    </xf>
    <xf numFmtId="49" fontId="3" fillId="0" borderId="0" xfId="0" applyNumberFormat="1" applyFont="1"/>
    <xf numFmtId="171" fontId="30" fillId="0" borderId="0" xfId="0" applyNumberFormat="1" applyFont="1" applyAlignment="1">
      <alignment horizontal="center"/>
    </xf>
    <xf numFmtId="0" fontId="3" fillId="0" borderId="0" xfId="0" applyFont="1" applyAlignment="1">
      <alignment horizontal="left"/>
    </xf>
    <xf numFmtId="0" fontId="32" fillId="0" borderId="0" xfId="0" applyFont="1" applyAlignment="1">
      <alignment horizontal="right"/>
    </xf>
    <xf numFmtId="0" fontId="32" fillId="0" borderId="0" xfId="0" applyFont="1" applyAlignment="1">
      <alignment horizontal="left"/>
    </xf>
    <xf numFmtId="171" fontId="32" fillId="0" borderId="0" xfId="0" applyNumberFormat="1" applyFont="1" applyAlignment="1">
      <alignment horizontal="center"/>
    </xf>
    <xf numFmtId="0" fontId="13" fillId="0" borderId="0" xfId="0" applyFont="1" applyAlignment="1">
      <alignment horizontal="left"/>
    </xf>
    <xf numFmtId="1" fontId="13" fillId="0" borderId="0" xfId="0" applyNumberFormat="1" applyFont="1" applyAlignment="1">
      <alignment horizontal="center" vertical="center"/>
    </xf>
    <xf numFmtId="178" fontId="13" fillId="0" borderId="0" xfId="0" applyNumberFormat="1" applyFont="1" applyAlignment="1">
      <alignment horizontal="center" vertical="center"/>
    </xf>
    <xf numFmtId="0" fontId="36" fillId="0" borderId="0" xfId="8" applyFont="1" applyFill="1" applyBorder="1"/>
    <xf numFmtId="0" fontId="36" fillId="0" borderId="31" xfId="8" applyFont="1" applyFill="1" applyBorder="1" applyAlignment="1">
      <alignment horizontal="center"/>
    </xf>
    <xf numFmtId="0" fontId="2" fillId="2" borderId="27" xfId="3" applyFill="1" applyBorder="1"/>
    <xf numFmtId="0" fontId="2" fillId="2" borderId="28" xfId="3" applyFill="1" applyBorder="1" applyAlignment="1">
      <alignment horizontal="center"/>
    </xf>
    <xf numFmtId="0" fontId="2" fillId="2" borderId="27" xfId="0" applyFont="1" applyFill="1" applyBorder="1"/>
    <xf numFmtId="0" fontId="2" fillId="7" borderId="18" xfId="3" applyFill="1" applyBorder="1"/>
    <xf numFmtId="0" fontId="2" fillId="7" borderId="19" xfId="3" applyFill="1" applyBorder="1"/>
    <xf numFmtId="1" fontId="2" fillId="7" borderId="0" xfId="3" applyNumberFormat="1" applyFill="1" applyAlignment="1">
      <alignment horizontal="center"/>
    </xf>
    <xf numFmtId="0" fontId="2" fillId="7" borderId="0" xfId="3" applyFill="1" applyAlignment="1">
      <alignment horizontal="center"/>
    </xf>
    <xf numFmtId="0" fontId="23" fillId="7" borderId="0" xfId="3" applyFont="1" applyFill="1" applyAlignment="1">
      <alignment horizontal="left"/>
    </xf>
    <xf numFmtId="0" fontId="23" fillId="7" borderId="9" xfId="3" applyFont="1" applyFill="1" applyBorder="1" applyAlignment="1">
      <alignment horizontal="left"/>
    </xf>
    <xf numFmtId="0" fontId="11" fillId="8" borderId="16" xfId="3" applyFont="1" applyFill="1" applyBorder="1" applyAlignment="1">
      <alignment horizontal="left"/>
    </xf>
    <xf numFmtId="0" fontId="11" fillId="8" borderId="26" xfId="3" applyFont="1" applyFill="1" applyBorder="1" applyAlignment="1">
      <alignment horizontal="center"/>
    </xf>
    <xf numFmtId="0" fontId="2" fillId="7" borderId="16" xfId="3" applyFill="1" applyBorder="1"/>
    <xf numFmtId="0" fontId="23" fillId="7" borderId="26" xfId="3" applyFont="1" applyFill="1" applyBorder="1" applyAlignment="1">
      <alignment horizontal="center"/>
    </xf>
    <xf numFmtId="0" fontId="23" fillId="7" borderId="0" xfId="3" applyFont="1" applyFill="1" applyAlignment="1">
      <alignment horizontal="center"/>
    </xf>
    <xf numFmtId="0" fontId="2" fillId="7" borderId="9" xfId="3" applyFill="1" applyBorder="1" applyAlignment="1">
      <alignment horizontal="center"/>
    </xf>
    <xf numFmtId="0" fontId="2" fillId="7" borderId="18" xfId="3" applyFill="1" applyBorder="1" applyAlignment="1">
      <alignment horizontal="left"/>
    </xf>
    <xf numFmtId="0" fontId="2" fillId="7" borderId="18" xfId="3" applyFill="1" applyBorder="1" applyAlignment="1">
      <alignment vertical="center"/>
    </xf>
    <xf numFmtId="0" fontId="11" fillId="8" borderId="16" xfId="3" applyFont="1" applyFill="1" applyBorder="1"/>
    <xf numFmtId="0" fontId="2" fillId="7" borderId="19" xfId="3" applyFill="1" applyBorder="1" applyAlignment="1">
      <alignment horizontal="left" wrapText="1"/>
    </xf>
    <xf numFmtId="0" fontId="2" fillId="7" borderId="18" xfId="6" applyFill="1" applyBorder="1"/>
    <xf numFmtId="0" fontId="2" fillId="7" borderId="18" xfId="3" applyFill="1" applyBorder="1" applyAlignment="1">
      <alignment horizontal="left" wrapText="1"/>
    </xf>
    <xf numFmtId="0" fontId="2" fillId="7" borderId="19" xfId="3" applyFill="1" applyBorder="1" applyAlignment="1">
      <alignment horizontal="left"/>
    </xf>
    <xf numFmtId="166" fontId="2" fillId="7" borderId="0" xfId="4" applyNumberFormat="1" applyFont="1" applyFill="1" applyBorder="1" applyAlignment="1">
      <alignment horizontal="center" vertical="center"/>
    </xf>
    <xf numFmtId="0" fontId="2" fillId="7" borderId="19" xfId="6" applyFill="1" applyBorder="1"/>
    <xf numFmtId="166" fontId="2" fillId="7" borderId="9" xfId="4" applyNumberFormat="1" applyFont="1" applyFill="1" applyBorder="1" applyAlignment="1">
      <alignment horizontal="center"/>
    </xf>
    <xf numFmtId="0" fontId="2" fillId="7" borderId="6" xfId="3" applyFill="1" applyBorder="1"/>
    <xf numFmtId="0" fontId="18" fillId="7" borderId="7" xfId="3" applyFont="1" applyFill="1" applyBorder="1" applyAlignment="1">
      <alignment horizontal="center"/>
    </xf>
    <xf numFmtId="173" fontId="2" fillId="7" borderId="7" xfId="3" applyNumberFormat="1" applyFill="1" applyBorder="1"/>
    <xf numFmtId="174" fontId="2" fillId="7" borderId="7" xfId="3" applyNumberFormat="1" applyFill="1" applyBorder="1"/>
    <xf numFmtId="0" fontId="2" fillId="7" borderId="6" xfId="1" applyNumberFormat="1" applyFont="1" applyFill="1" applyBorder="1" applyAlignment="1">
      <alignment horizontal="left"/>
    </xf>
    <xf numFmtId="175" fontId="2" fillId="7" borderId="0" xfId="1" applyNumberFormat="1" applyFont="1" applyFill="1" applyBorder="1"/>
    <xf numFmtId="0" fontId="2" fillId="7" borderId="11" xfId="1" applyNumberFormat="1" applyFont="1" applyFill="1" applyBorder="1"/>
    <xf numFmtId="175" fontId="2" fillId="7" borderId="12" xfId="1" applyNumberFormat="1" applyFont="1" applyFill="1" applyBorder="1"/>
    <xf numFmtId="164" fontId="2" fillId="7" borderId="12" xfId="1" applyFont="1" applyFill="1" applyBorder="1"/>
    <xf numFmtId="164" fontId="2" fillId="7" borderId="13" xfId="1" applyFont="1" applyFill="1" applyBorder="1"/>
    <xf numFmtId="0" fontId="11" fillId="8" borderId="17" xfId="3" applyFont="1" applyFill="1" applyBorder="1" applyAlignment="1">
      <alignment horizontal="center"/>
    </xf>
    <xf numFmtId="0" fontId="2" fillId="8" borderId="4" xfId="3" applyFill="1" applyBorder="1"/>
    <xf numFmtId="0" fontId="2" fillId="8" borderId="5" xfId="3" applyFill="1" applyBorder="1"/>
    <xf numFmtId="0" fontId="11" fillId="8" borderId="6" xfId="3" applyFont="1" applyFill="1" applyBorder="1" applyAlignment="1">
      <alignment horizontal="left"/>
    </xf>
    <xf numFmtId="0" fontId="15" fillId="8" borderId="7" xfId="3" applyFont="1" applyFill="1" applyBorder="1" applyAlignment="1">
      <alignment horizontal="center"/>
    </xf>
    <xf numFmtId="0" fontId="18" fillId="8" borderId="7" xfId="3" applyFont="1" applyFill="1" applyBorder="1" applyAlignment="1">
      <alignment horizontal="center"/>
    </xf>
    <xf numFmtId="0" fontId="11" fillId="8" borderId="16" xfId="0" applyFont="1" applyFill="1" applyBorder="1" applyAlignment="1">
      <alignment vertical="center"/>
    </xf>
    <xf numFmtId="1" fontId="15" fillId="9" borderId="0" xfId="3" applyNumberFormat="1" applyFont="1" applyFill="1" applyAlignment="1">
      <alignment horizontal="center"/>
    </xf>
    <xf numFmtId="1" fontId="2" fillId="10" borderId="0" xfId="3" applyNumberFormat="1" applyFill="1" applyAlignment="1" applyProtection="1">
      <alignment horizontal="center"/>
      <protection locked="0"/>
    </xf>
    <xf numFmtId="168" fontId="2" fillId="10" borderId="0" xfId="3" applyNumberFormat="1" applyFill="1" applyAlignment="1" applyProtection="1">
      <alignment horizontal="center"/>
      <protection locked="0"/>
    </xf>
    <xf numFmtId="169" fontId="2" fillId="10" borderId="0" xfId="4" applyNumberFormat="1" applyFont="1" applyFill="1" applyBorder="1" applyAlignment="1">
      <alignment horizontal="center"/>
    </xf>
    <xf numFmtId="9" fontId="2" fillId="10" borderId="0" xfId="4" applyFont="1" applyFill="1" applyBorder="1" applyAlignment="1">
      <alignment horizontal="center"/>
    </xf>
    <xf numFmtId="166" fontId="2" fillId="10" borderId="0" xfId="3" applyNumberFormat="1" applyFill="1" applyAlignment="1">
      <alignment horizontal="center"/>
    </xf>
    <xf numFmtId="3" fontId="2" fillId="10" borderId="0" xfId="5" applyNumberFormat="1" applyFont="1" applyFill="1" applyBorder="1" applyAlignment="1">
      <alignment horizontal="center"/>
    </xf>
    <xf numFmtId="171" fontId="2" fillId="10" borderId="9" xfId="3" applyNumberFormat="1" applyFill="1" applyBorder="1" applyAlignment="1" applyProtection="1">
      <alignment horizontal="center"/>
      <protection locked="0"/>
    </xf>
    <xf numFmtId="168" fontId="2" fillId="10" borderId="9" xfId="3" applyNumberFormat="1" applyFill="1" applyBorder="1" applyAlignment="1" applyProtection="1">
      <alignment horizontal="center"/>
      <protection locked="0"/>
    </xf>
    <xf numFmtId="0" fontId="13" fillId="10" borderId="9" xfId="1" applyNumberFormat="1" applyFont="1" applyFill="1" applyBorder="1" applyAlignment="1">
      <alignment horizontal="center"/>
    </xf>
    <xf numFmtId="0" fontId="13" fillId="10" borderId="0" xfId="1" applyNumberFormat="1" applyFont="1" applyFill="1" applyBorder="1" applyAlignment="1">
      <alignment horizontal="center"/>
    </xf>
    <xf numFmtId="167" fontId="13" fillId="10" borderId="9" xfId="0" applyNumberFormat="1" applyFont="1" applyFill="1" applyBorder="1" applyAlignment="1">
      <alignment horizontal="center"/>
    </xf>
    <xf numFmtId="2" fontId="2" fillId="10" borderId="9" xfId="3" applyNumberFormat="1" applyFill="1" applyBorder="1" applyAlignment="1">
      <alignment horizontal="right"/>
    </xf>
    <xf numFmtId="2" fontId="2" fillId="10" borderId="20" xfId="3" applyNumberFormat="1" applyFill="1" applyBorder="1" applyAlignment="1">
      <alignment horizontal="right"/>
    </xf>
    <xf numFmtId="0" fontId="2" fillId="10" borderId="6" xfId="3" applyFill="1" applyBorder="1"/>
    <xf numFmtId="173" fontId="2" fillId="10" borderId="0" xfId="5" applyNumberFormat="1" applyFont="1" applyFill="1" applyBorder="1"/>
    <xf numFmtId="173" fontId="2" fillId="10" borderId="7" xfId="5" applyNumberFormat="1" applyFont="1" applyFill="1" applyBorder="1"/>
    <xf numFmtId="173" fontId="2" fillId="10" borderId="7" xfId="3" applyNumberFormat="1" applyFill="1" applyBorder="1"/>
    <xf numFmtId="3" fontId="2" fillId="10" borderId="0" xfId="3" applyNumberFormat="1" applyFill="1" applyAlignment="1">
      <alignment horizontal="center"/>
    </xf>
    <xf numFmtId="4" fontId="2" fillId="10" borderId="0" xfId="3" applyNumberFormat="1" applyFill="1" applyAlignment="1">
      <alignment horizontal="center"/>
    </xf>
    <xf numFmtId="176" fontId="2" fillId="10" borderId="0" xfId="3" applyNumberFormat="1" applyFill="1" applyAlignment="1">
      <alignment horizontal="center"/>
    </xf>
    <xf numFmtId="172" fontId="2" fillId="10" borderId="0" xfId="3" applyNumberFormat="1" applyFill="1" applyAlignment="1">
      <alignment horizontal="center"/>
    </xf>
    <xf numFmtId="177" fontId="2" fillId="10" borderId="0" xfId="3" applyNumberFormat="1" applyFill="1" applyAlignment="1">
      <alignment horizontal="center"/>
    </xf>
    <xf numFmtId="1" fontId="2" fillId="10" borderId="0" xfId="3" applyNumberFormat="1" applyFill="1" applyAlignment="1">
      <alignment horizontal="center"/>
    </xf>
    <xf numFmtId="171" fontId="13" fillId="10" borderId="0" xfId="0" applyNumberFormat="1" applyFont="1" applyFill="1" applyAlignment="1">
      <alignment horizontal="center"/>
    </xf>
    <xf numFmtId="1" fontId="2" fillId="11" borderId="0" xfId="3" applyNumberFormat="1" applyFill="1" applyAlignment="1" applyProtection="1">
      <alignment horizontal="center"/>
      <protection locked="0"/>
    </xf>
    <xf numFmtId="1" fontId="2" fillId="11" borderId="9" xfId="3" applyNumberFormat="1" applyFill="1" applyBorder="1" applyAlignment="1" applyProtection="1">
      <alignment horizontal="center"/>
      <protection locked="0"/>
    </xf>
    <xf numFmtId="1" fontId="2" fillId="11" borderId="26" xfId="3" applyNumberFormat="1" applyFill="1" applyBorder="1" applyAlignment="1" applyProtection="1">
      <alignment horizontal="center"/>
      <protection locked="0"/>
    </xf>
    <xf numFmtId="2" fontId="2" fillId="11" borderId="0" xfId="3" applyNumberFormat="1" applyFill="1" applyAlignment="1" applyProtection="1">
      <alignment horizontal="center"/>
      <protection locked="0"/>
    </xf>
    <xf numFmtId="2" fontId="2" fillId="11" borderId="9" xfId="3" applyNumberFormat="1" applyFill="1" applyBorder="1" applyAlignment="1" applyProtection="1">
      <alignment horizontal="center"/>
      <protection locked="0"/>
    </xf>
    <xf numFmtId="167" fontId="2" fillId="11" borderId="0" xfId="3" applyNumberFormat="1" applyFill="1" applyAlignment="1" applyProtection="1">
      <alignment horizontal="center"/>
      <protection locked="0"/>
    </xf>
    <xf numFmtId="9" fontId="2" fillId="11" borderId="0" xfId="2" applyFont="1" applyFill="1" applyBorder="1" applyAlignment="1" applyProtection="1">
      <alignment horizontal="center"/>
      <protection locked="0"/>
    </xf>
    <xf numFmtId="0" fontId="2" fillId="11" borderId="0" xfId="3" applyFill="1" applyAlignment="1" applyProtection="1">
      <alignment horizontal="center"/>
      <protection locked="0"/>
    </xf>
    <xf numFmtId="0" fontId="2" fillId="11" borderId="9" xfId="3" applyFill="1" applyBorder="1" applyAlignment="1" applyProtection="1">
      <alignment horizontal="center"/>
      <protection locked="0"/>
    </xf>
    <xf numFmtId="13" fontId="2" fillId="11" borderId="9" xfId="4" applyNumberFormat="1" applyFont="1" applyFill="1" applyBorder="1" applyAlignment="1" applyProtection="1">
      <alignment horizontal="center"/>
      <protection locked="0"/>
    </xf>
    <xf numFmtId="171" fontId="2" fillId="11" borderId="0" xfId="3" applyNumberFormat="1" applyFill="1" applyAlignment="1" applyProtection="1">
      <alignment horizontal="center"/>
      <protection locked="0"/>
    </xf>
    <xf numFmtId="0" fontId="2" fillId="11" borderId="0" xfId="4" applyNumberFormat="1" applyFont="1" applyFill="1" applyBorder="1" applyAlignment="1" applyProtection="1">
      <alignment horizontal="center"/>
      <protection locked="0"/>
    </xf>
    <xf numFmtId="1" fontId="2" fillId="11" borderId="0" xfId="4" applyNumberFormat="1" applyFont="1" applyFill="1" applyBorder="1" applyAlignment="1" applyProtection="1">
      <alignment horizontal="center"/>
      <protection locked="0"/>
    </xf>
    <xf numFmtId="0" fontId="2" fillId="11" borderId="0" xfId="2" applyNumberFormat="1" applyFont="1" applyFill="1" applyBorder="1" applyAlignment="1" applyProtection="1">
      <alignment horizontal="center"/>
      <protection locked="0"/>
    </xf>
    <xf numFmtId="3" fontId="2" fillId="11" borderId="0" xfId="1" applyNumberFormat="1" applyFont="1" applyFill="1" applyBorder="1" applyAlignment="1" applyProtection="1">
      <alignment horizontal="center"/>
      <protection locked="0"/>
    </xf>
    <xf numFmtId="9" fontId="2" fillId="11" borderId="9" xfId="2" applyFont="1" applyFill="1" applyBorder="1" applyAlignment="1" applyProtection="1">
      <alignment horizontal="center"/>
      <protection locked="0"/>
    </xf>
    <xf numFmtId="0" fontId="2" fillId="12" borderId="0" xfId="4" applyNumberFormat="1" applyFont="1" applyFill="1" applyBorder="1" applyAlignment="1" applyProtection="1">
      <alignment horizontal="center"/>
      <protection locked="0"/>
    </xf>
    <xf numFmtId="166" fontId="2" fillId="12" borderId="0" xfId="4" applyNumberFormat="1" applyFont="1" applyFill="1" applyBorder="1" applyAlignment="1" applyProtection="1">
      <alignment horizontal="center"/>
      <protection locked="0"/>
    </xf>
    <xf numFmtId="0" fontId="2" fillId="12" borderId="0" xfId="3" applyFill="1" applyAlignment="1" applyProtection="1">
      <alignment horizontal="center"/>
      <protection locked="0"/>
    </xf>
    <xf numFmtId="0" fontId="2" fillId="9" borderId="10" xfId="3" applyFill="1" applyBorder="1"/>
    <xf numFmtId="0" fontId="2" fillId="10" borderId="10" xfId="3" applyFill="1" applyBorder="1"/>
    <xf numFmtId="0" fontId="2" fillId="11" borderId="10" xfId="3" applyFill="1" applyBorder="1"/>
    <xf numFmtId="0" fontId="3" fillId="11" borderId="2" xfId="10" applyFont="1" applyFill="1" applyBorder="1" applyAlignment="1">
      <alignment horizontal="center"/>
    </xf>
    <xf numFmtId="0" fontId="3" fillId="11" borderId="20" xfId="10" applyFont="1" applyFill="1" applyBorder="1" applyAlignment="1">
      <alignment horizontal="center"/>
    </xf>
    <xf numFmtId="0" fontId="2" fillId="7" borderId="21" xfId="3" applyFill="1" applyBorder="1" applyAlignment="1">
      <alignment horizontal="left" vertical="center"/>
    </xf>
    <xf numFmtId="0" fontId="2" fillId="7" borderId="22" xfId="3" applyFill="1" applyBorder="1" applyAlignment="1">
      <alignment horizontal="left" vertical="center" wrapText="1"/>
    </xf>
    <xf numFmtId="179" fontId="2" fillId="7" borderId="23" xfId="3" applyNumberFormat="1" applyFill="1" applyBorder="1" applyAlignment="1">
      <alignment horizontal="left" vertical="center" wrapText="1"/>
    </xf>
    <xf numFmtId="0" fontId="18" fillId="7" borderId="23" xfId="3" applyFont="1" applyFill="1" applyBorder="1" applyAlignment="1">
      <alignment horizontal="left" vertical="center" wrapText="1"/>
    </xf>
    <xf numFmtId="0" fontId="2" fillId="7" borderId="24" xfId="3" applyFill="1" applyBorder="1" applyAlignment="1">
      <alignment horizontal="left" vertical="center"/>
    </xf>
    <xf numFmtId="0" fontId="2" fillId="7" borderId="25" xfId="3" applyFill="1" applyBorder="1" applyAlignment="1">
      <alignment horizontal="left" vertical="center" wrapText="1"/>
    </xf>
    <xf numFmtId="0" fontId="15" fillId="8" borderId="29" xfId="0" applyFont="1" applyFill="1" applyBorder="1" applyAlignment="1">
      <alignment horizontal="left"/>
    </xf>
    <xf numFmtId="0" fontId="13" fillId="8" borderId="30" xfId="0" applyFont="1" applyFill="1" applyBorder="1" applyAlignment="1">
      <alignment horizontal="left"/>
    </xf>
    <xf numFmtId="0" fontId="13" fillId="8" borderId="30" xfId="0" applyFont="1" applyFill="1" applyBorder="1"/>
    <xf numFmtId="171" fontId="13" fillId="8" borderId="30" xfId="0" applyNumberFormat="1" applyFont="1" applyFill="1" applyBorder="1" applyAlignment="1">
      <alignment horizontal="center"/>
    </xf>
    <xf numFmtId="171" fontId="13" fillId="8" borderId="30" xfId="0" applyNumberFormat="1" applyFont="1" applyFill="1" applyBorder="1"/>
    <xf numFmtId="171" fontId="2" fillId="8" borderId="30" xfId="0" applyNumberFormat="1" applyFont="1" applyFill="1" applyBorder="1" applyAlignment="1">
      <alignment horizontal="center"/>
    </xf>
    <xf numFmtId="177" fontId="13" fillId="8" borderId="30" xfId="0" applyNumberFormat="1" applyFont="1" applyFill="1" applyBorder="1" applyAlignment="1">
      <alignment horizontal="center"/>
    </xf>
    <xf numFmtId="1" fontId="13" fillId="8" borderId="30" xfId="0" applyNumberFormat="1" applyFont="1" applyFill="1" applyBorder="1" applyAlignment="1">
      <alignment horizontal="center"/>
    </xf>
    <xf numFmtId="0" fontId="13" fillId="8" borderId="30" xfId="0" applyFont="1" applyFill="1" applyBorder="1" applyAlignment="1">
      <alignment horizontal="center"/>
    </xf>
    <xf numFmtId="167" fontId="11" fillId="8" borderId="0" xfId="0" applyNumberFormat="1" applyFont="1" applyFill="1" applyAlignment="1">
      <alignment horizontal="left" vertical="center"/>
    </xf>
    <xf numFmtId="167" fontId="11" fillId="8" borderId="0" xfId="0" applyNumberFormat="1" applyFont="1" applyFill="1" applyAlignment="1">
      <alignment horizontal="center" vertical="center" wrapText="1"/>
    </xf>
    <xf numFmtId="1" fontId="11" fillId="8" borderId="0" xfId="0" applyNumberFormat="1" applyFont="1" applyFill="1" applyAlignment="1">
      <alignment horizontal="center" vertical="center" wrapText="1"/>
    </xf>
    <xf numFmtId="171" fontId="11" fillId="8" borderId="0" xfId="0" applyNumberFormat="1" applyFont="1" applyFill="1" applyAlignment="1">
      <alignment horizontal="center" vertical="center" wrapText="1"/>
    </xf>
    <xf numFmtId="166" fontId="11" fillId="8" borderId="0" xfId="0" applyNumberFormat="1" applyFont="1" applyFill="1" applyAlignment="1">
      <alignment horizontal="center" vertical="center" wrapText="1"/>
    </xf>
    <xf numFmtId="1" fontId="11" fillId="8" borderId="0" xfId="0" applyNumberFormat="1" applyFont="1" applyFill="1" applyAlignment="1">
      <alignment horizontal="center" vertical="center"/>
    </xf>
    <xf numFmtId="0" fontId="11" fillId="8" borderId="0" xfId="0" applyFont="1" applyFill="1" applyAlignment="1">
      <alignment horizontal="center" vertical="center" wrapText="1"/>
    </xf>
    <xf numFmtId="1" fontId="11" fillId="8" borderId="0" xfId="0" applyNumberFormat="1" applyFont="1" applyFill="1" applyAlignment="1">
      <alignment horizontal="center"/>
    </xf>
    <xf numFmtId="0" fontId="11" fillId="8" borderId="0" xfId="0" applyFont="1" applyFill="1" applyAlignment="1">
      <alignment horizontal="center"/>
    </xf>
    <xf numFmtId="167" fontId="11" fillId="8" borderId="0" xfId="0" applyNumberFormat="1" applyFont="1" applyFill="1" applyAlignment="1">
      <alignment horizontal="center" vertical="center"/>
    </xf>
    <xf numFmtId="1" fontId="11" fillId="8" borderId="0" xfId="0" applyNumberFormat="1" applyFont="1" applyFill="1" applyAlignment="1">
      <alignment horizontal="left" vertical="center"/>
    </xf>
    <xf numFmtId="171" fontId="11" fillId="8" borderId="0" xfId="0" applyNumberFormat="1" applyFont="1" applyFill="1" applyAlignment="1">
      <alignment horizontal="center"/>
    </xf>
    <xf numFmtId="0" fontId="11" fillId="0" borderId="0" xfId="0" applyFont="1"/>
    <xf numFmtId="1" fontId="11" fillId="0" borderId="0" xfId="0" applyNumberFormat="1" applyFont="1"/>
    <xf numFmtId="0" fontId="13" fillId="0" borderId="0" xfId="0" applyFont="1" applyAlignment="1">
      <alignment vertical="center"/>
    </xf>
    <xf numFmtId="0" fontId="28" fillId="8" borderId="3" xfId="0" applyFont="1" applyFill="1" applyBorder="1" applyAlignment="1">
      <alignment horizontal="left"/>
    </xf>
    <xf numFmtId="0" fontId="29" fillId="8" borderId="4" xfId="0" applyFont="1" applyFill="1" applyBorder="1"/>
    <xf numFmtId="0" fontId="29" fillId="8" borderId="15" xfId="0" applyFont="1" applyFill="1" applyBorder="1"/>
    <xf numFmtId="0" fontId="30" fillId="8" borderId="6" xfId="0" applyFont="1" applyFill="1" applyBorder="1" applyAlignment="1">
      <alignment horizontal="center"/>
    </xf>
    <xf numFmtId="0" fontId="31" fillId="8" borderId="0" xfId="0" applyFont="1" applyFill="1"/>
    <xf numFmtId="0" fontId="31" fillId="8" borderId="1" xfId="0" applyFont="1" applyFill="1" applyBorder="1" applyAlignment="1">
      <alignment horizontal="center"/>
    </xf>
    <xf numFmtId="0" fontId="31" fillId="8" borderId="0" xfId="0" applyFont="1" applyFill="1" applyAlignment="1">
      <alignment horizontal="center"/>
    </xf>
    <xf numFmtId="0" fontId="31" fillId="8" borderId="1" xfId="0" applyFont="1" applyFill="1" applyBorder="1"/>
    <xf numFmtId="0" fontId="31" fillId="8" borderId="7" xfId="0" applyFont="1" applyFill="1" applyBorder="1"/>
    <xf numFmtId="0" fontId="3" fillId="8" borderId="4" xfId="0" applyFont="1" applyFill="1" applyBorder="1"/>
    <xf numFmtId="49" fontId="30" fillId="8" borderId="15" xfId="0" quotePrefix="1" applyNumberFormat="1" applyFont="1" applyFill="1" applyBorder="1"/>
    <xf numFmtId="171" fontId="30" fillId="8" borderId="1" xfId="0" applyNumberFormat="1" applyFont="1" applyFill="1" applyBorder="1" applyAlignment="1">
      <alignment horizontal="center"/>
    </xf>
    <xf numFmtId="49" fontId="30" fillId="8" borderId="1" xfId="0" quotePrefix="1" applyNumberFormat="1" applyFont="1" applyFill="1" applyBorder="1"/>
    <xf numFmtId="166" fontId="28" fillId="8" borderId="3" xfId="0" applyNumberFormat="1" applyFont="1" applyFill="1" applyBorder="1"/>
    <xf numFmtId="0" fontId="30" fillId="8" borderId="4" xfId="0" applyFont="1" applyFill="1" applyBorder="1"/>
    <xf numFmtId="171" fontId="30" fillId="8" borderId="4" xfId="0" applyNumberFormat="1" applyFont="1" applyFill="1" applyBorder="1" applyAlignment="1">
      <alignment horizontal="center"/>
    </xf>
    <xf numFmtId="171" fontId="30" fillId="8" borderId="4" xfId="0" quotePrefix="1" applyNumberFormat="1" applyFont="1" applyFill="1" applyBorder="1" applyAlignment="1">
      <alignment horizontal="center"/>
    </xf>
    <xf numFmtId="49" fontId="30" fillId="8" borderId="4" xfId="0" quotePrefix="1" applyNumberFormat="1" applyFont="1" applyFill="1" applyBorder="1"/>
    <xf numFmtId="49" fontId="30" fillId="8" borderId="5" xfId="0" quotePrefix="1" applyNumberFormat="1" applyFont="1" applyFill="1" applyBorder="1"/>
    <xf numFmtId="0" fontId="30" fillId="8" borderId="6" xfId="0" applyFont="1" applyFill="1" applyBorder="1"/>
    <xf numFmtId="49" fontId="30" fillId="8" borderId="0" xfId="0" applyNumberFormat="1" applyFont="1" applyFill="1"/>
    <xf numFmtId="0" fontId="30" fillId="8" borderId="0" xfId="0" applyFont="1" applyFill="1" applyAlignment="1">
      <alignment horizontal="center"/>
    </xf>
    <xf numFmtId="49" fontId="30" fillId="8" borderId="1" xfId="0" applyNumberFormat="1" applyFont="1" applyFill="1" applyBorder="1"/>
    <xf numFmtId="0" fontId="30" fillId="8" borderId="0" xfId="0" applyFont="1" applyFill="1"/>
    <xf numFmtId="49" fontId="30" fillId="8" borderId="7" xfId="0" applyNumberFormat="1" applyFont="1" applyFill="1" applyBorder="1"/>
    <xf numFmtId="0" fontId="3" fillId="7" borderId="6" xfId="0" applyFont="1" applyFill="1" applyBorder="1" applyAlignment="1">
      <alignment horizontal="center"/>
    </xf>
    <xf numFmtId="49" fontId="3" fillId="7" borderId="0" xfId="0" applyNumberFormat="1" applyFont="1" applyFill="1"/>
    <xf numFmtId="0" fontId="3" fillId="7" borderId="0" xfId="0" applyFont="1" applyFill="1"/>
    <xf numFmtId="49" fontId="3" fillId="7" borderId="2" xfId="0" quotePrefix="1" applyNumberFormat="1" applyFont="1" applyFill="1" applyBorder="1"/>
    <xf numFmtId="171" fontId="23" fillId="7" borderId="0" xfId="0" applyNumberFormat="1" applyFont="1" applyFill="1" applyAlignment="1">
      <alignment horizontal="center"/>
    </xf>
    <xf numFmtId="171" fontId="3" fillId="7" borderId="0" xfId="0" applyNumberFormat="1" applyFont="1" applyFill="1" applyAlignment="1">
      <alignment horizontal="center"/>
    </xf>
    <xf numFmtId="0" fontId="3" fillId="7" borderId="7" xfId="0" applyFont="1" applyFill="1" applyBorder="1"/>
    <xf numFmtId="0" fontId="3" fillId="7" borderId="0" xfId="0" applyFont="1" applyFill="1" applyAlignment="1">
      <alignment horizontal="center"/>
    </xf>
    <xf numFmtId="0" fontId="3" fillId="7" borderId="11" xfId="0" applyFont="1" applyFill="1" applyBorder="1" applyAlignment="1">
      <alignment horizontal="center"/>
    </xf>
    <xf numFmtId="49" fontId="3" fillId="7" borderId="12" xfId="0" applyNumberFormat="1" applyFont="1" applyFill="1" applyBorder="1"/>
    <xf numFmtId="0" fontId="3" fillId="7" borderId="12" xfId="0" applyFont="1" applyFill="1" applyBorder="1" applyAlignment="1">
      <alignment horizontal="center"/>
    </xf>
    <xf numFmtId="0" fontId="3" fillId="7" borderId="0" xfId="0" applyFont="1" applyFill="1" applyAlignment="1">
      <alignment horizontal="left"/>
    </xf>
    <xf numFmtId="0" fontId="3" fillId="7" borderId="12" xfId="0" applyFont="1" applyFill="1" applyBorder="1" applyAlignment="1">
      <alignment horizontal="left"/>
    </xf>
    <xf numFmtId="0" fontId="3" fillId="7" borderId="13" xfId="0" applyFont="1" applyFill="1" applyBorder="1"/>
    <xf numFmtId="0" fontId="3" fillId="7" borderId="7" xfId="0" applyFont="1" applyFill="1" applyBorder="1" applyAlignment="1">
      <alignment horizontal="left"/>
    </xf>
    <xf numFmtId="0" fontId="3" fillId="7" borderId="13" xfId="0" applyFont="1" applyFill="1" applyBorder="1" applyAlignment="1">
      <alignment horizontal="left"/>
    </xf>
    <xf numFmtId="0" fontId="3" fillId="7" borderId="6" xfId="0" applyFont="1" applyFill="1" applyBorder="1"/>
    <xf numFmtId="0" fontId="3" fillId="7" borderId="0" xfId="0" quotePrefix="1" applyFont="1" applyFill="1" applyAlignment="1">
      <alignment horizontal="center"/>
    </xf>
    <xf numFmtId="0" fontId="3" fillId="7" borderId="0" xfId="0" applyFont="1" applyFill="1" applyAlignment="1">
      <alignment horizontal="center" vertical="center"/>
    </xf>
    <xf numFmtId="0" fontId="3" fillId="7" borderId="6" xfId="0" applyFont="1" applyFill="1" applyBorder="1" applyAlignment="1">
      <alignment horizontal="left"/>
    </xf>
    <xf numFmtId="0" fontId="3" fillId="7" borderId="11" xfId="0" applyFont="1" applyFill="1" applyBorder="1" applyAlignment="1">
      <alignment horizontal="left"/>
    </xf>
    <xf numFmtId="0" fontId="3" fillId="7" borderId="2" xfId="0" applyFont="1" applyFill="1" applyBorder="1" applyAlignment="1">
      <alignment horizontal="left"/>
    </xf>
    <xf numFmtId="0" fontId="3" fillId="7" borderId="14" xfId="0" applyFont="1" applyFill="1" applyBorder="1" applyAlignment="1">
      <alignment horizontal="left"/>
    </xf>
    <xf numFmtId="171" fontId="30" fillId="9" borderId="0" xfId="0" applyNumberFormat="1" applyFont="1" applyFill="1" applyAlignment="1">
      <alignment horizontal="center"/>
    </xf>
    <xf numFmtId="171" fontId="30" fillId="9" borderId="12" xfId="0" applyNumberFormat="1" applyFont="1" applyFill="1" applyBorder="1" applyAlignment="1">
      <alignment horizontal="center"/>
    </xf>
    <xf numFmtId="171" fontId="3" fillId="10" borderId="0" xfId="10" applyNumberFormat="1" applyFont="1" applyFill="1" applyBorder="1"/>
    <xf numFmtId="2" fontId="3" fillId="10" borderId="0" xfId="10" applyNumberFormat="1" applyFont="1" applyFill="1" applyBorder="1"/>
    <xf numFmtId="171" fontId="3" fillId="10" borderId="0" xfId="9" applyNumberFormat="1" applyFont="1" applyFill="1" applyBorder="1" applyAlignment="1">
      <alignment horizontal="right"/>
    </xf>
    <xf numFmtId="180" fontId="3" fillId="10" borderId="0" xfId="0" applyNumberFormat="1" applyFont="1" applyFill="1"/>
    <xf numFmtId="2" fontId="3" fillId="10" borderId="0" xfId="0" applyNumberFormat="1" applyFont="1" applyFill="1"/>
    <xf numFmtId="171" fontId="3" fillId="10" borderId="0" xfId="0" applyNumberFormat="1" applyFont="1" applyFill="1"/>
    <xf numFmtId="1" fontId="3" fillId="10" borderId="0" xfId="0" applyNumberFormat="1" applyFont="1" applyFill="1"/>
    <xf numFmtId="9" fontId="3" fillId="10" borderId="0" xfId="0" applyNumberFormat="1" applyFont="1" applyFill="1"/>
    <xf numFmtId="0" fontId="3" fillId="10" borderId="0" xfId="0" applyFont="1" applyFill="1"/>
    <xf numFmtId="0" fontId="3" fillId="10" borderId="12" xfId="0" applyFont="1" applyFill="1" applyBorder="1"/>
    <xf numFmtId="0" fontId="3" fillId="7" borderId="0" xfId="0" quotePrefix="1" applyFont="1" applyFill="1" applyAlignment="1">
      <alignment horizontal="right"/>
    </xf>
    <xf numFmtId="0" fontId="3" fillId="7" borderId="0" xfId="0" quotePrefix="1" applyFont="1" applyFill="1" applyAlignment="1">
      <alignment horizontal="left"/>
    </xf>
    <xf numFmtId="171" fontId="3" fillId="11" borderId="0" xfId="10" applyNumberFormat="1" applyFont="1" applyFill="1" applyBorder="1" applyAlignment="1">
      <alignment horizontal="right"/>
    </xf>
    <xf numFmtId="166" fontId="3" fillId="11" borderId="0" xfId="10" applyNumberFormat="1" applyFont="1" applyFill="1" applyBorder="1" applyAlignment="1">
      <alignment horizontal="right"/>
    </xf>
    <xf numFmtId="171" fontId="3" fillId="11" borderId="0" xfId="10" applyNumberFormat="1" applyFont="1" applyFill="1" applyBorder="1"/>
    <xf numFmtId="171" fontId="3" fillId="11" borderId="0" xfId="10" applyNumberFormat="1" applyFont="1" applyFill="1" applyBorder="1" applyAlignment="1">
      <alignment vertical="center"/>
    </xf>
    <xf numFmtId="0" fontId="3" fillId="11" borderId="0" xfId="10" applyFont="1" applyFill="1" applyBorder="1" applyAlignment="1">
      <alignment horizontal="right"/>
    </xf>
    <xf numFmtId="0" fontId="3" fillId="11" borderId="0" xfId="0" applyFont="1" applyFill="1"/>
    <xf numFmtId="9" fontId="3" fillId="11" borderId="0" xfId="0" applyNumberFormat="1" applyFont="1" applyFill="1"/>
    <xf numFmtId="0" fontId="3" fillId="11" borderId="12" xfId="0" applyFont="1" applyFill="1" applyBorder="1"/>
    <xf numFmtId="0" fontId="2" fillId="7" borderId="0" xfId="3" applyFill="1" applyAlignment="1">
      <alignment horizontal="left"/>
    </xf>
    <xf numFmtId="0" fontId="2" fillId="7" borderId="2" xfId="3" applyFill="1" applyBorder="1" applyAlignment="1">
      <alignment horizontal="left"/>
    </xf>
    <xf numFmtId="0" fontId="2" fillId="7" borderId="9" xfId="3" applyFill="1" applyBorder="1" applyAlignment="1">
      <alignment horizontal="left"/>
    </xf>
    <xf numFmtId="0" fontId="2" fillId="7" borderId="20" xfId="3" applyFill="1" applyBorder="1" applyAlignment="1">
      <alignment horizontal="left"/>
    </xf>
    <xf numFmtId="0" fontId="13" fillId="13" borderId="32" xfId="0" applyFont="1" applyFill="1" applyBorder="1" applyAlignment="1">
      <alignment horizontal="center"/>
    </xf>
    <xf numFmtId="1" fontId="14" fillId="13" borderId="26" xfId="8" applyNumberFormat="1" applyFont="1" applyFill="1" applyBorder="1" applyAlignment="1">
      <alignment horizontal="left" vertical="center"/>
    </xf>
    <xf numFmtId="171" fontId="13" fillId="13" borderId="26" xfId="8" applyNumberFormat="1" applyFont="1" applyFill="1" applyBorder="1" applyAlignment="1">
      <alignment horizontal="center" vertical="center"/>
    </xf>
    <xf numFmtId="1" fontId="13" fillId="13" borderId="26" xfId="8" applyNumberFormat="1" applyFont="1" applyFill="1" applyBorder="1" applyAlignment="1">
      <alignment horizontal="center" vertical="center"/>
    </xf>
    <xf numFmtId="171" fontId="2" fillId="13" borderId="26" xfId="9" applyNumberFormat="1" applyFont="1" applyFill="1" applyBorder="1" applyAlignment="1">
      <alignment horizontal="center" vertical="center"/>
    </xf>
    <xf numFmtId="1" fontId="13" fillId="13" borderId="26" xfId="0" applyNumberFormat="1" applyFont="1" applyFill="1" applyBorder="1" applyAlignment="1">
      <alignment horizontal="center" vertical="center"/>
    </xf>
    <xf numFmtId="178" fontId="13" fillId="13" borderId="26" xfId="0" applyNumberFormat="1" applyFont="1" applyFill="1" applyBorder="1" applyAlignment="1">
      <alignment horizontal="center" vertical="center"/>
    </xf>
    <xf numFmtId="0" fontId="13" fillId="13" borderId="0" xfId="0" applyFont="1" applyFill="1" applyAlignment="1">
      <alignment vertical="center"/>
    </xf>
    <xf numFmtId="0" fontId="13" fillId="14" borderId="32" xfId="0" applyFont="1" applyFill="1" applyBorder="1" applyAlignment="1">
      <alignment horizontal="center"/>
    </xf>
    <xf numFmtId="1" fontId="14" fillId="14" borderId="26" xfId="8" applyNumberFormat="1" applyFont="1" applyFill="1" applyBorder="1" applyAlignment="1">
      <alignment horizontal="left" vertical="center"/>
    </xf>
    <xf numFmtId="171" fontId="13" fillId="14" borderId="26" xfId="8" applyNumberFormat="1" applyFont="1" applyFill="1" applyBorder="1" applyAlignment="1">
      <alignment horizontal="center" vertical="center"/>
    </xf>
    <xf numFmtId="1" fontId="13" fillId="14" borderId="26" xfId="8" applyNumberFormat="1" applyFont="1" applyFill="1" applyBorder="1" applyAlignment="1">
      <alignment horizontal="center" vertical="center"/>
    </xf>
    <xf numFmtId="171" fontId="2" fillId="14" borderId="26" xfId="9" applyNumberFormat="1" applyFont="1" applyFill="1" applyBorder="1" applyAlignment="1">
      <alignment horizontal="center" vertical="center"/>
    </xf>
    <xf numFmtId="1" fontId="13" fillId="14" borderId="26" xfId="0" applyNumberFormat="1" applyFont="1" applyFill="1" applyBorder="1" applyAlignment="1">
      <alignment horizontal="center" vertical="center"/>
    </xf>
    <xf numFmtId="178" fontId="13" fillId="14" borderId="26" xfId="0" applyNumberFormat="1" applyFont="1" applyFill="1" applyBorder="1" applyAlignment="1">
      <alignment horizontal="center" vertical="center"/>
    </xf>
    <xf numFmtId="0" fontId="13" fillId="14" borderId="0" xfId="0" applyFont="1" applyFill="1" applyAlignment="1">
      <alignment vertical="center"/>
    </xf>
    <xf numFmtId="0" fontId="13" fillId="15" borderId="32" xfId="0" applyFont="1" applyFill="1" applyBorder="1" applyAlignment="1">
      <alignment horizontal="center"/>
    </xf>
    <xf numFmtId="1" fontId="14" fillId="15" borderId="26" xfId="8" applyNumberFormat="1" applyFont="1" applyFill="1" applyBorder="1" applyAlignment="1">
      <alignment horizontal="left" vertical="center"/>
    </xf>
    <xf numFmtId="171" fontId="13" fillId="15" borderId="26" xfId="8" applyNumberFormat="1" applyFont="1" applyFill="1" applyBorder="1" applyAlignment="1">
      <alignment horizontal="center" vertical="center"/>
    </xf>
    <xf numFmtId="1" fontId="13" fillId="15" borderId="26" xfId="8" applyNumberFormat="1" applyFont="1" applyFill="1" applyBorder="1" applyAlignment="1">
      <alignment horizontal="center" vertical="center"/>
    </xf>
    <xf numFmtId="171" fontId="2" fillId="15" borderId="26" xfId="9" applyNumberFormat="1" applyFont="1" applyFill="1" applyBorder="1" applyAlignment="1">
      <alignment horizontal="center" vertical="center"/>
    </xf>
    <xf numFmtId="1" fontId="13" fillId="15" borderId="26" xfId="0" applyNumberFormat="1" applyFont="1" applyFill="1" applyBorder="1" applyAlignment="1">
      <alignment horizontal="center" vertical="center"/>
    </xf>
    <xf numFmtId="178" fontId="13" fillId="15" borderId="26" xfId="0" applyNumberFormat="1" applyFont="1" applyFill="1" applyBorder="1" applyAlignment="1">
      <alignment horizontal="center" vertical="center"/>
    </xf>
    <xf numFmtId="0" fontId="13" fillId="15" borderId="0" xfId="0" applyFont="1" applyFill="1" applyAlignment="1">
      <alignment vertical="center"/>
    </xf>
    <xf numFmtId="10" fontId="2" fillId="6" borderId="0" xfId="4" applyNumberFormat="1" applyFont="1" applyFill="1" applyBorder="1" applyAlignment="1" applyProtection="1">
      <alignment horizontal="center"/>
      <protection locked="0"/>
    </xf>
    <xf numFmtId="166" fontId="22" fillId="9" borderId="0" xfId="3" applyNumberFormat="1" applyFont="1" applyFill="1" applyAlignment="1">
      <alignment horizontal="center"/>
    </xf>
    <xf numFmtId="166" fontId="13" fillId="0" borderId="0" xfId="8" applyNumberFormat="1" applyFont="1" applyFill="1" applyBorder="1" applyAlignment="1">
      <alignment horizontal="center" vertical="center"/>
    </xf>
    <xf numFmtId="0" fontId="11" fillId="8" borderId="0" xfId="0" applyFont="1" applyFill="1"/>
    <xf numFmtId="1" fontId="11" fillId="8" borderId="0" xfId="0" applyNumberFormat="1" applyFont="1" applyFill="1"/>
    <xf numFmtId="0" fontId="11" fillId="8" borderId="0" xfId="0" applyFont="1" applyFill="1" applyAlignment="1">
      <alignment wrapText="1"/>
    </xf>
    <xf numFmtId="1" fontId="37" fillId="0" borderId="10" xfId="8" applyNumberFormat="1" applyFont="1" applyFill="1" applyBorder="1" applyAlignment="1">
      <alignment horizontal="center" vertical="center"/>
    </xf>
    <xf numFmtId="0" fontId="37" fillId="14" borderId="34" xfId="0" applyFont="1" applyFill="1" applyBorder="1" applyAlignment="1">
      <alignment horizontal="center"/>
    </xf>
    <xf numFmtId="0" fontId="37" fillId="16" borderId="34" xfId="0" applyFont="1" applyFill="1" applyBorder="1" applyAlignment="1">
      <alignment horizontal="center"/>
    </xf>
    <xf numFmtId="171" fontId="37" fillId="0" borderId="10" xfId="8" applyNumberFormat="1" applyFont="1" applyFill="1" applyBorder="1" applyAlignment="1">
      <alignment horizontal="center" vertical="center"/>
    </xf>
    <xf numFmtId="171" fontId="37" fillId="14" borderId="34" xfId="0" applyNumberFormat="1" applyFont="1" applyFill="1" applyBorder="1" applyAlignment="1">
      <alignment horizontal="center"/>
    </xf>
    <xf numFmtId="171" fontId="37" fillId="16" borderId="34" xfId="0" applyNumberFormat="1" applyFont="1" applyFill="1" applyBorder="1" applyAlignment="1">
      <alignment horizontal="center"/>
    </xf>
    <xf numFmtId="166" fontId="37" fillId="0" borderId="10" xfId="8" applyNumberFormat="1" applyFont="1" applyFill="1" applyBorder="1" applyAlignment="1">
      <alignment horizontal="center" vertical="center"/>
    </xf>
    <xf numFmtId="0" fontId="2" fillId="2" borderId="0" xfId="0" applyFont="1" applyFill="1"/>
    <xf numFmtId="0" fontId="2" fillId="2" borderId="0" xfId="3" applyFill="1" applyAlignment="1">
      <alignment horizontal="center"/>
    </xf>
    <xf numFmtId="0" fontId="11" fillId="17" borderId="0" xfId="3" applyFont="1" applyFill="1" applyAlignment="1">
      <alignment horizontal="center"/>
    </xf>
    <xf numFmtId="0" fontId="2" fillId="17" borderId="0" xfId="3" applyFill="1" applyAlignment="1">
      <alignment horizontal="center"/>
    </xf>
    <xf numFmtId="0" fontId="11" fillId="8" borderId="36" xfId="3" applyFont="1" applyFill="1" applyBorder="1"/>
    <xf numFmtId="0" fontId="2" fillId="7" borderId="37" xfId="3" applyFill="1" applyBorder="1"/>
    <xf numFmtId="0" fontId="2" fillId="7" borderId="38" xfId="3" applyFill="1" applyBorder="1"/>
    <xf numFmtId="166" fontId="37" fillId="0" borderId="10" xfId="8" applyNumberFormat="1" applyFont="1" applyBorder="1" applyAlignment="1">
      <alignment horizontal="center" vertical="center"/>
    </xf>
    <xf numFmtId="0" fontId="2" fillId="2" borderId="16" xfId="0" applyFont="1" applyFill="1" applyBorder="1"/>
    <xf numFmtId="0" fontId="2" fillId="2" borderId="17" xfId="3" applyFill="1" applyBorder="1" applyAlignment="1">
      <alignment horizontal="center"/>
    </xf>
    <xf numFmtId="0" fontId="11" fillId="8" borderId="0" xfId="0" applyFont="1" applyFill="1" applyAlignment="1">
      <alignment vertical="top" wrapText="1"/>
    </xf>
    <xf numFmtId="166" fontId="2" fillId="0" borderId="0" xfId="9" applyNumberFormat="1" applyFont="1" applyFill="1" applyBorder="1" applyAlignment="1">
      <alignment horizontal="center" vertical="center"/>
    </xf>
    <xf numFmtId="166" fontId="30" fillId="9" borderId="0" xfId="0" applyNumberFormat="1" applyFont="1" applyFill="1" applyAlignment="1">
      <alignment horizontal="center"/>
    </xf>
    <xf numFmtId="166" fontId="30" fillId="9" borderId="12" xfId="0" applyNumberFormat="1" applyFont="1" applyFill="1" applyBorder="1" applyAlignment="1">
      <alignment horizontal="center"/>
    </xf>
    <xf numFmtId="49" fontId="3" fillId="7" borderId="14" xfId="0" quotePrefix="1" applyNumberFormat="1" applyFont="1" applyFill="1" applyBorder="1"/>
    <xf numFmtId="171" fontId="3" fillId="7" borderId="12" xfId="0" applyNumberFormat="1" applyFont="1" applyFill="1" applyBorder="1" applyAlignment="1">
      <alignment horizontal="center"/>
    </xf>
    <xf numFmtId="0" fontId="3" fillId="7" borderId="12" xfId="0" applyFont="1" applyFill="1" applyBorder="1"/>
    <xf numFmtId="166" fontId="13" fillId="10" borderId="33" xfId="0" applyNumberFormat="1" applyFont="1" applyFill="1" applyBorder="1" applyAlignment="1">
      <alignment horizontal="center"/>
    </xf>
    <xf numFmtId="166" fontId="13" fillId="10" borderId="9" xfId="0" applyNumberFormat="1" applyFont="1" applyFill="1" applyBorder="1" applyAlignment="1">
      <alignment horizontal="center"/>
    </xf>
    <xf numFmtId="166" fontId="13" fillId="10" borderId="0" xfId="0" applyNumberFormat="1" applyFont="1" applyFill="1" applyAlignment="1">
      <alignment horizontal="center"/>
    </xf>
    <xf numFmtId="1" fontId="13" fillId="10" borderId="0" xfId="0" applyNumberFormat="1" applyFont="1" applyFill="1" applyAlignment="1">
      <alignment horizontal="center"/>
    </xf>
    <xf numFmtId="1" fontId="13" fillId="10" borderId="0" xfId="0" quotePrefix="1" applyNumberFormat="1" applyFont="1" applyFill="1" applyAlignment="1">
      <alignment horizontal="center"/>
    </xf>
    <xf numFmtId="166" fontId="13" fillId="10" borderId="0" xfId="0" quotePrefix="1" applyNumberFormat="1" applyFont="1" applyFill="1" applyAlignment="1">
      <alignment horizontal="center"/>
    </xf>
    <xf numFmtId="4" fontId="2" fillId="10" borderId="0" xfId="5" applyNumberFormat="1" applyFont="1" applyFill="1" applyBorder="1" applyAlignment="1">
      <alignment horizontal="center"/>
    </xf>
    <xf numFmtId="1" fontId="2" fillId="0" borderId="0" xfId="3" applyNumberFormat="1"/>
    <xf numFmtId="0" fontId="41" fillId="0" borderId="0" xfId="3" applyFont="1"/>
    <xf numFmtId="0" fontId="42" fillId="0" borderId="0" xfId="3" applyFont="1"/>
    <xf numFmtId="0" fontId="40" fillId="0" borderId="0" xfId="3" applyFont="1"/>
    <xf numFmtId="0" fontId="39" fillId="0" borderId="0" xfId="3" applyFont="1"/>
    <xf numFmtId="166" fontId="41" fillId="0" borderId="0" xfId="3" applyNumberFormat="1" applyFont="1" applyAlignment="1">
      <alignment vertical="center"/>
    </xf>
    <xf numFmtId="0" fontId="43" fillId="0" borderId="0" xfId="3" applyFont="1"/>
    <xf numFmtId="0" fontId="44" fillId="0" borderId="0" xfId="0" applyFont="1"/>
    <xf numFmtId="0" fontId="41" fillId="0" borderId="0" xfId="3" applyFont="1" applyAlignment="1">
      <alignment horizontal="center"/>
    </xf>
    <xf numFmtId="181" fontId="2" fillId="7" borderId="2" xfId="3" applyNumberFormat="1" applyFill="1" applyBorder="1" applyAlignment="1" applyProtection="1">
      <alignment horizontal="center" vertical="center"/>
      <protection locked="0"/>
    </xf>
    <xf numFmtId="0" fontId="2" fillId="11" borderId="0" xfId="2" applyNumberFormat="1" applyFont="1" applyFill="1" applyBorder="1" applyAlignment="1">
      <alignment horizontal="center"/>
    </xf>
    <xf numFmtId="49" fontId="3" fillId="7" borderId="0" xfId="0" applyNumberFormat="1" applyFont="1" applyFill="1" applyAlignment="1">
      <alignment horizontal="center"/>
    </xf>
    <xf numFmtId="49" fontId="3" fillId="7" borderId="0" xfId="0" quotePrefix="1" applyNumberFormat="1" applyFont="1" applyFill="1"/>
    <xf numFmtId="49" fontId="3" fillId="7" borderId="12" xfId="0" applyNumberFormat="1" applyFont="1" applyFill="1" applyBorder="1" applyAlignment="1">
      <alignment horizontal="center"/>
    </xf>
    <xf numFmtId="166" fontId="30" fillId="9" borderId="36" xfId="0" applyNumberFormat="1" applyFont="1" applyFill="1" applyBorder="1" applyAlignment="1">
      <alignment horizontal="center"/>
    </xf>
    <xf numFmtId="166" fontId="30" fillId="9" borderId="37" xfId="0" applyNumberFormat="1" applyFont="1" applyFill="1" applyBorder="1" applyAlignment="1">
      <alignment horizontal="center"/>
    </xf>
    <xf numFmtId="166" fontId="30" fillId="9" borderId="38" xfId="0" applyNumberFormat="1" applyFont="1" applyFill="1" applyBorder="1" applyAlignment="1">
      <alignment horizontal="center"/>
    </xf>
    <xf numFmtId="49" fontId="3" fillId="7" borderId="12" xfId="0" quotePrefix="1" applyNumberFormat="1" applyFont="1" applyFill="1" applyBorder="1"/>
    <xf numFmtId="166" fontId="30" fillId="9" borderId="36" xfId="0" quotePrefix="1" applyNumberFormat="1" applyFont="1" applyFill="1" applyBorder="1" applyAlignment="1">
      <alignment horizontal="center"/>
    </xf>
    <xf numFmtId="166" fontId="30" fillId="9" borderId="37" xfId="0" quotePrefix="1" applyNumberFormat="1" applyFont="1" applyFill="1" applyBorder="1" applyAlignment="1">
      <alignment horizontal="center"/>
    </xf>
    <xf numFmtId="166" fontId="30" fillId="9" borderId="38" xfId="0" quotePrefix="1" applyNumberFormat="1" applyFont="1" applyFill="1" applyBorder="1" applyAlignment="1">
      <alignment horizontal="center"/>
    </xf>
    <xf numFmtId="182" fontId="2" fillId="7" borderId="7" xfId="3" applyNumberFormat="1" applyFill="1" applyBorder="1"/>
    <xf numFmtId="0" fontId="15" fillId="8" borderId="0" xfId="3" applyFont="1" applyFill="1" applyAlignment="1">
      <alignment horizontal="right"/>
    </xf>
    <xf numFmtId="0" fontId="15" fillId="8" borderId="0" xfId="3" applyFont="1" applyFill="1" applyAlignment="1">
      <alignment horizontal="center"/>
    </xf>
    <xf numFmtId="0" fontId="2" fillId="7" borderId="0" xfId="3" applyFill="1"/>
    <xf numFmtId="3" fontId="2" fillId="7" borderId="0" xfId="3" applyNumberFormat="1" applyFill="1" applyAlignment="1">
      <alignment horizontal="center"/>
    </xf>
    <xf numFmtId="0" fontId="18" fillId="7" borderId="0" xfId="3" applyFont="1" applyFill="1" applyAlignment="1">
      <alignment horizontal="center"/>
    </xf>
    <xf numFmtId="0" fontId="18" fillId="8" borderId="0" xfId="3" applyFont="1" applyFill="1" applyAlignment="1">
      <alignment horizontal="right"/>
    </xf>
    <xf numFmtId="0" fontId="18" fillId="8" borderId="0" xfId="3" applyFont="1" applyFill="1" applyAlignment="1">
      <alignment horizontal="center"/>
    </xf>
    <xf numFmtId="1" fontId="2" fillId="7" borderId="0" xfId="3" applyNumberFormat="1" applyFill="1"/>
    <xf numFmtId="173" fontId="2" fillId="7" borderId="0" xfId="3" applyNumberFormat="1" applyFill="1"/>
    <xf numFmtId="1" fontId="2" fillId="10" borderId="0" xfId="3" applyNumberFormat="1" applyFill="1"/>
    <xf numFmtId="0" fontId="2" fillId="10" borderId="0" xfId="3" applyFill="1"/>
    <xf numFmtId="174" fontId="2" fillId="7" borderId="0" xfId="3" applyNumberFormat="1" applyFill="1"/>
    <xf numFmtId="182" fontId="2" fillId="7" borderId="0" xfId="3" applyNumberFormat="1" applyFill="1"/>
    <xf numFmtId="3" fontId="2" fillId="7" borderId="0" xfId="3" applyNumberFormat="1" applyFill="1"/>
    <xf numFmtId="3" fontId="2" fillId="10" borderId="0" xfId="3" applyNumberFormat="1" applyFill="1"/>
    <xf numFmtId="173" fontId="2" fillId="10" borderId="0" xfId="3" applyNumberFormat="1" applyFill="1"/>
    <xf numFmtId="175" fontId="2" fillId="7" borderId="7" xfId="1" applyNumberFormat="1" applyFont="1" applyFill="1" applyBorder="1"/>
    <xf numFmtId="0" fontId="2" fillId="11" borderId="0" xfId="3" applyFill="1" applyAlignment="1">
      <alignment horizontal="right" vertical="center"/>
    </xf>
    <xf numFmtId="181" fontId="2" fillId="7" borderId="0" xfId="3" applyNumberFormat="1" applyFill="1" applyAlignment="1" applyProtection="1">
      <alignment horizontal="center" vertical="center"/>
      <protection locked="0"/>
    </xf>
    <xf numFmtId="0" fontId="36" fillId="0" borderId="0" xfId="8" applyFont="1"/>
    <xf numFmtId="171" fontId="13" fillId="0" borderId="0" xfId="8" applyNumberFormat="1" applyFont="1" applyAlignment="1">
      <alignment horizontal="center" vertical="center"/>
    </xf>
    <xf numFmtId="1" fontId="13" fillId="0" borderId="0" xfId="8" applyNumberFormat="1" applyFont="1" applyAlignment="1">
      <alignment horizontal="center" vertical="center"/>
    </xf>
    <xf numFmtId="166" fontId="13" fillId="0" borderId="0" xfId="8" applyNumberFormat="1" applyFont="1" applyAlignment="1">
      <alignment horizontal="center" vertical="center"/>
    </xf>
    <xf numFmtId="9" fontId="2" fillId="11" borderId="0" xfId="2" applyFont="1" applyFill="1" applyAlignment="1" applyProtection="1">
      <alignment horizontal="center"/>
      <protection locked="0"/>
    </xf>
    <xf numFmtId="169" fontId="2" fillId="10" borderId="0" xfId="4" applyNumberFormat="1" applyFont="1" applyFill="1" applyAlignment="1">
      <alignment horizontal="center"/>
    </xf>
    <xf numFmtId="9" fontId="2" fillId="10" borderId="0" xfId="4" applyFont="1" applyFill="1" applyAlignment="1">
      <alignment horizontal="center"/>
    </xf>
    <xf numFmtId="13" fontId="2" fillId="0" borderId="0" xfId="4" applyNumberFormat="1" applyFont="1" applyAlignment="1" applyProtection="1">
      <alignment horizontal="center"/>
      <protection locked="0"/>
    </xf>
    <xf numFmtId="3" fontId="2" fillId="10" borderId="0" xfId="5" applyNumberFormat="1" applyFont="1" applyFill="1" applyAlignment="1">
      <alignment horizontal="center"/>
    </xf>
    <xf numFmtId="0" fontId="2" fillId="11" borderId="0" xfId="4" applyNumberFormat="1" applyFont="1" applyFill="1" applyAlignment="1" applyProtection="1">
      <alignment horizontal="center"/>
      <protection locked="0"/>
    </xf>
    <xf numFmtId="0" fontId="2" fillId="12" borderId="0" xfId="4" applyNumberFormat="1" applyFont="1" applyFill="1" applyAlignment="1" applyProtection="1">
      <alignment horizontal="center"/>
      <protection locked="0"/>
    </xf>
    <xf numFmtId="166" fontId="2" fillId="12" borderId="0" xfId="4" applyNumberFormat="1" applyFont="1" applyFill="1" applyAlignment="1" applyProtection="1">
      <alignment horizontal="center"/>
      <protection locked="0"/>
    </xf>
    <xf numFmtId="1" fontId="2" fillId="11" borderId="0" xfId="4" applyNumberFormat="1" applyFont="1" applyFill="1" applyAlignment="1" applyProtection="1">
      <alignment horizontal="center"/>
      <protection locked="0"/>
    </xf>
    <xf numFmtId="0" fontId="2" fillId="6" borderId="0" xfId="4" applyNumberFormat="1" applyFont="1" applyFill="1" applyAlignment="1" applyProtection="1">
      <alignment horizontal="center"/>
      <protection locked="0"/>
    </xf>
    <xf numFmtId="0" fontId="13" fillId="10" borderId="0" xfId="1" applyNumberFormat="1" applyFont="1" applyFill="1" applyAlignment="1">
      <alignment horizontal="center"/>
    </xf>
    <xf numFmtId="172" fontId="2" fillId="6" borderId="0" xfId="4" applyNumberFormat="1" applyFont="1" applyFill="1" applyAlignment="1" applyProtection="1">
      <alignment horizontal="center"/>
      <protection locked="0"/>
    </xf>
    <xf numFmtId="9" fontId="2" fillId="6" borderId="0" xfId="4" applyFont="1" applyFill="1" applyAlignment="1" applyProtection="1">
      <alignment horizontal="center"/>
      <protection locked="0"/>
    </xf>
    <xf numFmtId="0" fontId="2" fillId="11" borderId="0" xfId="2" applyNumberFormat="1" applyFont="1" applyFill="1" applyAlignment="1" applyProtection="1">
      <alignment horizontal="center"/>
      <protection locked="0"/>
    </xf>
    <xf numFmtId="3" fontId="2" fillId="11" borderId="0" xfId="1" applyNumberFormat="1" applyFont="1" applyFill="1" applyAlignment="1" applyProtection="1">
      <alignment horizontal="center"/>
      <protection locked="0"/>
    </xf>
    <xf numFmtId="175" fontId="18" fillId="0" borderId="0" xfId="1" applyNumberFormat="1" applyFont="1"/>
    <xf numFmtId="0" fontId="13" fillId="0" borderId="0" xfId="0" applyFont="1" applyAlignment="1">
      <alignment wrapText="1"/>
    </xf>
    <xf numFmtId="166" fontId="37" fillId="0" borderId="10" xfId="0" applyNumberFormat="1" applyFont="1" applyBorder="1" applyAlignment="1">
      <alignment horizontal="center" vertical="center"/>
    </xf>
    <xf numFmtId="171" fontId="38" fillId="14" borderId="10" xfId="8" applyNumberFormat="1" applyFont="1" applyFill="1" applyBorder="1" applyAlignment="1">
      <alignment horizontal="center" vertical="center"/>
    </xf>
    <xf numFmtId="0" fontId="37" fillId="0" borderId="10" xfId="0" applyFont="1" applyBorder="1" applyAlignment="1">
      <alignment horizontal="center" vertical="center"/>
    </xf>
    <xf numFmtId="171" fontId="38" fillId="16" borderId="10" xfId="8" applyNumberFormat="1" applyFont="1" applyFill="1" applyBorder="1" applyAlignment="1">
      <alignment horizontal="center" vertical="center"/>
    </xf>
    <xf numFmtId="0" fontId="7" fillId="0" borderId="31" xfId="8" applyBorder="1" applyAlignment="1">
      <alignment horizontal="center"/>
    </xf>
    <xf numFmtId="0" fontId="7" fillId="0" borderId="31" xfId="8" applyFill="1" applyBorder="1" applyAlignment="1">
      <alignment horizontal="center"/>
    </xf>
    <xf numFmtId="0" fontId="7" fillId="0" borderId="31" xfId="8" quotePrefix="1" applyFill="1" applyBorder="1" applyAlignment="1">
      <alignment horizontal="center"/>
    </xf>
    <xf numFmtId="0" fontId="7" fillId="0" borderId="0" xfId="8" quotePrefix="1" applyFill="1" applyBorder="1" applyAlignment="1">
      <alignment horizontal="center"/>
    </xf>
    <xf numFmtId="166" fontId="13" fillId="10" borderId="26" xfId="0" applyNumberFormat="1" applyFont="1" applyFill="1" applyBorder="1" applyAlignment="1">
      <alignment horizontal="center"/>
    </xf>
    <xf numFmtId="171" fontId="13" fillId="10" borderId="26" xfId="0" applyNumberFormat="1" applyFont="1" applyFill="1" applyBorder="1" applyAlignment="1">
      <alignment horizontal="center"/>
    </xf>
    <xf numFmtId="49" fontId="2" fillId="11" borderId="0" xfId="3" applyNumberFormat="1" applyFill="1" applyAlignment="1" applyProtection="1">
      <alignment horizontal="center"/>
      <protection locked="0"/>
    </xf>
    <xf numFmtId="49" fontId="3" fillId="7" borderId="6" xfId="0" applyNumberFormat="1" applyFont="1" applyFill="1" applyBorder="1" applyAlignment="1">
      <alignment horizontal="center"/>
    </xf>
    <xf numFmtId="49" fontId="3" fillId="7" borderId="11" xfId="0" applyNumberFormat="1" applyFont="1" applyFill="1" applyBorder="1" applyAlignment="1">
      <alignment horizontal="center"/>
    </xf>
    <xf numFmtId="49" fontId="2" fillId="11" borderId="26" xfId="3" applyNumberFormat="1" applyFill="1" applyBorder="1" applyAlignment="1" applyProtection="1">
      <alignment horizontal="center"/>
      <protection locked="0"/>
    </xf>
    <xf numFmtId="49" fontId="13" fillId="0" borderId="0" xfId="8" applyNumberFormat="1" applyFont="1" applyFill="1" applyBorder="1" applyAlignment="1">
      <alignment horizontal="center" vertical="center"/>
    </xf>
    <xf numFmtId="49" fontId="13" fillId="0" borderId="0" xfId="8" applyNumberFormat="1" applyFont="1" applyAlignment="1">
      <alignment horizontal="center" vertical="center"/>
    </xf>
    <xf numFmtId="49" fontId="13" fillId="14" borderId="26" xfId="8" applyNumberFormat="1" applyFont="1" applyFill="1" applyBorder="1" applyAlignment="1">
      <alignment horizontal="center" vertical="center"/>
    </xf>
    <xf numFmtId="166" fontId="13" fillId="10" borderId="9" xfId="0" quotePrefix="1" applyNumberFormat="1" applyFont="1" applyFill="1" applyBorder="1" applyAlignment="1">
      <alignment horizontal="center"/>
    </xf>
    <xf numFmtId="49" fontId="37" fillId="0" borderId="10" xfId="8" applyNumberFormat="1" applyFont="1" applyFill="1" applyBorder="1" applyAlignment="1">
      <alignment horizontal="center" vertical="center"/>
    </xf>
    <xf numFmtId="49" fontId="37" fillId="0" borderId="10" xfId="8" applyNumberFormat="1" applyFont="1" applyBorder="1" applyAlignment="1">
      <alignment horizontal="center" vertical="center"/>
    </xf>
    <xf numFmtId="171" fontId="13" fillId="0" borderId="0" xfId="0" quotePrefix="1" applyNumberFormat="1" applyFont="1"/>
    <xf numFmtId="0" fontId="23" fillId="0" borderId="27" xfId="3" applyFont="1" applyBorder="1" applyAlignment="1">
      <alignment horizontal="center"/>
    </xf>
    <xf numFmtId="0" fontId="23" fillId="0" borderId="28" xfId="3" applyFont="1" applyBorder="1" applyAlignment="1">
      <alignment horizontal="center"/>
    </xf>
    <xf numFmtId="1" fontId="17" fillId="7" borderId="6" xfId="3" applyNumberFormat="1" applyFont="1" applyFill="1" applyBorder="1" applyAlignment="1" applyProtection="1">
      <alignment horizontal="center" vertical="center"/>
      <protection locked="0"/>
    </xf>
    <xf numFmtId="1" fontId="17" fillId="7" borderId="7" xfId="3" applyNumberFormat="1" applyFont="1" applyFill="1" applyBorder="1" applyAlignment="1" applyProtection="1">
      <alignment horizontal="center" vertical="center"/>
      <protection locked="0"/>
    </xf>
    <xf numFmtId="0" fontId="11" fillId="8" borderId="16" xfId="3" applyFont="1" applyFill="1" applyBorder="1" applyAlignment="1">
      <alignment horizontal="center"/>
    </xf>
    <xf numFmtId="0" fontId="11" fillId="8" borderId="17" xfId="3" applyFont="1" applyFill="1" applyBorder="1" applyAlignment="1">
      <alignment horizontal="center"/>
    </xf>
    <xf numFmtId="0" fontId="16" fillId="8" borderId="6" xfId="3" applyFont="1" applyFill="1" applyBorder="1" applyAlignment="1">
      <alignment horizontal="center" vertical="center"/>
    </xf>
    <xf numFmtId="0" fontId="16" fillId="8" borderId="7" xfId="3" applyFont="1" applyFill="1" applyBorder="1" applyAlignment="1">
      <alignment horizontal="center" vertical="center"/>
    </xf>
    <xf numFmtId="0" fontId="11" fillId="8" borderId="31" xfId="0" applyFont="1" applyFill="1" applyBorder="1" applyAlignment="1">
      <alignment horizontal="center" textRotation="180"/>
    </xf>
    <xf numFmtId="0" fontId="29" fillId="8" borderId="4" xfId="0" applyFont="1" applyFill="1" applyBorder="1" applyAlignment="1">
      <alignment horizontal="left"/>
    </xf>
    <xf numFmtId="0" fontId="29" fillId="8" borderId="15" xfId="0" applyFont="1" applyFill="1" applyBorder="1" applyAlignment="1">
      <alignment horizontal="left"/>
    </xf>
    <xf numFmtId="0" fontId="29" fillId="8" borderId="5" xfId="0" applyFont="1" applyFill="1" applyBorder="1" applyAlignment="1">
      <alignment horizontal="left"/>
    </xf>
    <xf numFmtId="0" fontId="29" fillId="8" borderId="35" xfId="0" applyFont="1" applyFill="1" applyBorder="1" applyAlignment="1">
      <alignment horizontal="left"/>
    </xf>
    <xf numFmtId="0" fontId="11" fillId="8" borderId="26" xfId="3" applyFont="1" applyFill="1" applyBorder="1" applyAlignment="1">
      <alignment horizontal="left"/>
    </xf>
    <xf numFmtId="0" fontId="11" fillId="8" borderId="17" xfId="3" applyFont="1" applyFill="1" applyBorder="1" applyAlignment="1">
      <alignment horizontal="left"/>
    </xf>
    <xf numFmtId="0" fontId="2" fillId="7" borderId="0" xfId="3" applyFill="1" applyAlignment="1">
      <alignment horizontal="left"/>
    </xf>
    <xf numFmtId="0" fontId="2" fillId="7" borderId="2" xfId="3" applyFill="1" applyBorder="1" applyAlignment="1">
      <alignment horizontal="left"/>
    </xf>
    <xf numFmtId="0" fontId="2" fillId="7" borderId="26" xfId="3" applyFill="1" applyBorder="1" applyAlignment="1">
      <alignment horizontal="left"/>
    </xf>
    <xf numFmtId="0" fontId="2" fillId="7" borderId="17" xfId="3" applyFill="1" applyBorder="1" applyAlignment="1">
      <alignment horizontal="left"/>
    </xf>
    <xf numFmtId="0" fontId="2" fillId="7" borderId="9" xfId="3" applyFill="1" applyBorder="1" applyAlignment="1">
      <alignment horizontal="left"/>
    </xf>
    <xf numFmtId="0" fontId="2" fillId="7" borderId="20" xfId="3" applyFill="1" applyBorder="1" applyAlignment="1">
      <alignment horizontal="left"/>
    </xf>
    <xf numFmtId="0" fontId="2" fillId="7" borderId="0" xfId="3" quotePrefix="1" applyFill="1" applyAlignment="1">
      <alignment horizontal="left"/>
    </xf>
    <xf numFmtId="0" fontId="2" fillId="7" borderId="9" xfId="3" quotePrefix="1" applyFill="1" applyBorder="1" applyAlignment="1">
      <alignment horizontal="left"/>
    </xf>
    <xf numFmtId="0" fontId="25" fillId="7" borderId="0" xfId="3" applyFont="1" applyFill="1" applyAlignment="1">
      <alignment horizontal="left"/>
    </xf>
    <xf numFmtId="0" fontId="25" fillId="7" borderId="2" xfId="3" applyFont="1" applyFill="1" applyBorder="1" applyAlignment="1">
      <alignment horizontal="left"/>
    </xf>
    <xf numFmtId="0" fontId="2" fillId="7" borderId="18" xfId="6" applyFill="1" applyBorder="1" applyAlignment="1">
      <alignment horizontal="left" vertical="center" wrapText="1"/>
    </xf>
    <xf numFmtId="0" fontId="2" fillId="7" borderId="0" xfId="6" applyFill="1" applyAlignment="1">
      <alignment horizontal="left" vertical="center" wrapText="1"/>
    </xf>
    <xf numFmtId="0" fontId="22" fillId="8" borderId="3" xfId="0" applyFont="1" applyFill="1" applyBorder="1" applyAlignment="1">
      <alignment horizontal="left" vertical="center"/>
    </xf>
    <xf numFmtId="0" fontId="22" fillId="8" borderId="4" xfId="0" applyFont="1" applyFill="1" applyBorder="1" applyAlignment="1">
      <alignment horizontal="left" vertical="center"/>
    </xf>
    <xf numFmtId="1" fontId="2" fillId="10" borderId="9" xfId="3" applyNumberFormat="1" applyFill="1" applyBorder="1" applyAlignment="1">
      <alignment horizontal="center"/>
    </xf>
    <xf numFmtId="1" fontId="2" fillId="10" borderId="20" xfId="3" applyNumberFormat="1" applyFill="1" applyBorder="1" applyAlignment="1">
      <alignment horizontal="center"/>
    </xf>
  </cellXfs>
  <cellStyles count="11">
    <cellStyle name="Berekening" xfId="9" builtinId="22"/>
    <cellStyle name="Comma 2 2" xfId="5" xr:uid="{A07AA011-667A-4DC4-95C2-A60C555DCE24}"/>
    <cellStyle name="Comma 2 4" xfId="7" xr:uid="{2CC97DCB-6EFE-4717-B200-BF457FBC7330}"/>
    <cellStyle name="Hyperlink" xfId="8" builtinId="8"/>
    <cellStyle name="Invoer" xfId="10" builtinId="20"/>
    <cellStyle name="Komma" xfId="1" builtinId="3"/>
    <cellStyle name="Normal 2" xfId="3" xr:uid="{B1FEEBDC-1FEB-468C-BE82-EA5A0D54099B}"/>
    <cellStyle name="Normal_factsheet01" xfId="6" xr:uid="{3D688832-FCE4-4CC2-9757-3804BC7F65D7}"/>
    <cellStyle name="Percent 2" xfId="4" xr:uid="{33EE1709-9B5A-456B-B725-D361286CC9A4}"/>
    <cellStyle name="Procent" xfId="2" builtinId="5"/>
    <cellStyle name="Standaard" xfId="0" builtinId="0"/>
  </cellStyles>
  <dxfs count="6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A5D1F2"/>
      <color rgb="FF1A4222"/>
      <color rgb="FFF3D696"/>
      <color rgb="FFD8E6C5"/>
      <color rgb="FF006E9A"/>
      <color rgb="FFBFBFBF"/>
      <color rgb="FF808080"/>
      <color rgb="FFF8E6C1"/>
      <color rgb="FFBCD49B"/>
      <color rgb="FF9AB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0</xdr:colOff>
      <xdr:row>11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00" y="323850"/>
          <a:ext cx="4953000" cy="1790700"/>
        </a:xfrm>
        <a:prstGeom prst="rect">
          <a:avLst/>
        </a:prstGeom>
        <a:solidFill>
          <a:schemeClr val="bg1"/>
        </a:solidFill>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4C90-7A0B-4717-BDBA-593465F06B50}">
  <sheetPr codeName="Sheet5">
    <tabColor theme="9"/>
  </sheetPr>
  <dimension ref="A1:L39"/>
  <sheetViews>
    <sheetView showGridLines="0" topLeftCell="A12" zoomScaleNormal="100" workbookViewId="0">
      <selection activeCell="E16" sqref="E16"/>
    </sheetView>
  </sheetViews>
  <sheetFormatPr defaultColWidth="9.26953125" defaultRowHeight="12.5" x14ac:dyDescent="0.25"/>
  <cols>
    <col min="1" max="1" width="0.7265625" style="16" customWidth="1"/>
    <col min="2" max="3" width="37.26953125" style="16" customWidth="1"/>
    <col min="4" max="16384" width="9.26953125" style="16"/>
  </cols>
  <sheetData>
    <row r="1" spans="2:12" ht="3.75" customHeight="1" thickBot="1" x14ac:dyDescent="0.3"/>
    <row r="2" spans="2:12" x14ac:dyDescent="0.25">
      <c r="B2" s="17"/>
      <c r="C2" s="18"/>
    </row>
    <row r="3" spans="2:12" x14ac:dyDescent="0.25">
      <c r="B3" s="19"/>
      <c r="C3" s="20"/>
    </row>
    <row r="4" spans="2:12" x14ac:dyDescent="0.25">
      <c r="B4" s="19"/>
      <c r="C4" s="20"/>
    </row>
    <row r="5" spans="2:12" x14ac:dyDescent="0.25">
      <c r="B5" s="19"/>
      <c r="C5" s="20"/>
    </row>
    <row r="6" spans="2:12" x14ac:dyDescent="0.25">
      <c r="B6" s="19"/>
      <c r="C6" s="20"/>
    </row>
    <row r="7" spans="2:12" x14ac:dyDescent="0.25">
      <c r="B7" s="19"/>
      <c r="C7" s="20"/>
    </row>
    <row r="8" spans="2:12" x14ac:dyDescent="0.25">
      <c r="B8" s="19"/>
      <c r="C8" s="20"/>
    </row>
    <row r="9" spans="2:12" x14ac:dyDescent="0.25">
      <c r="B9" s="19"/>
      <c r="C9" s="20"/>
    </row>
    <row r="10" spans="2:12" x14ac:dyDescent="0.25">
      <c r="B10" s="19"/>
      <c r="C10" s="20"/>
    </row>
    <row r="11" spans="2:12" s="1" customFormat="1" ht="26.25" customHeight="1" x14ac:dyDescent="0.35">
      <c r="B11" s="21"/>
      <c r="C11" s="22"/>
    </row>
    <row r="12" spans="2:12" s="1" customFormat="1" ht="17.25" customHeight="1" x14ac:dyDescent="0.35">
      <c r="B12" s="438" t="s">
        <v>0</v>
      </c>
      <c r="C12" s="439"/>
    </row>
    <row r="13" spans="2:12" s="2" customFormat="1" ht="33.75" customHeight="1" x14ac:dyDescent="0.35">
      <c r="B13" s="434" t="str">
        <f>C30&amp;" "&amp;C29</f>
        <v>SCE 2025</v>
      </c>
      <c r="C13" s="435"/>
      <c r="G13" s="4"/>
      <c r="H13" s="3"/>
      <c r="I13" s="3"/>
      <c r="J13" s="5"/>
      <c r="K13" s="3"/>
      <c r="L13" s="3"/>
    </row>
    <row r="14" spans="2:12" s="23" customFormat="1" ht="33.75" customHeight="1" x14ac:dyDescent="0.35">
      <c r="B14" s="184" t="s">
        <v>1</v>
      </c>
      <c r="C14" s="185" t="s">
        <v>2</v>
      </c>
    </row>
    <row r="15" spans="2:12" s="23" customFormat="1" ht="33.75" customHeight="1" x14ac:dyDescent="0.35">
      <c r="B15" s="184" t="s">
        <v>3</v>
      </c>
      <c r="C15" s="186">
        <v>45688</v>
      </c>
    </row>
    <row r="16" spans="2:12" s="23" customFormat="1" ht="33.75" customHeight="1" x14ac:dyDescent="0.35">
      <c r="B16" s="184" t="s">
        <v>4</v>
      </c>
      <c r="C16" s="187" t="str">
        <f>"Eindadvies "&amp; C30&amp;" "&amp;C29</f>
        <v>Eindadvies SCE 2025</v>
      </c>
    </row>
    <row r="17" spans="1:4" s="23" customFormat="1" ht="25.5" thickBot="1" x14ac:dyDescent="0.4">
      <c r="B17" s="188" t="s">
        <v>5</v>
      </c>
      <c r="C17" s="189" t="s">
        <v>6</v>
      </c>
    </row>
    <row r="18" spans="1:4" ht="14" x14ac:dyDescent="0.25">
      <c r="A18" s="2"/>
      <c r="B18" s="2"/>
      <c r="C18" s="2"/>
      <c r="D18" s="2"/>
    </row>
    <row r="19" spans="1:4" ht="14" x14ac:dyDescent="0.25">
      <c r="A19" s="2"/>
      <c r="B19" s="2"/>
      <c r="C19" s="2"/>
      <c r="D19" s="2"/>
    </row>
    <row r="20" spans="1:4" ht="14" x14ac:dyDescent="0.3">
      <c r="A20" s="2"/>
      <c r="B20" s="432" t="s">
        <v>7</v>
      </c>
      <c r="C20" s="433"/>
      <c r="D20" s="2"/>
    </row>
    <row r="21" spans="1:4" ht="14" x14ac:dyDescent="0.25">
      <c r="A21" s="2"/>
      <c r="B21" s="102"/>
      <c r="C21" s="24" t="s">
        <v>8</v>
      </c>
      <c r="D21" s="2"/>
    </row>
    <row r="22" spans="1:4" ht="14" x14ac:dyDescent="0.25">
      <c r="A22" s="2"/>
      <c r="B22" s="96"/>
      <c r="C22" s="24" t="s">
        <v>9</v>
      </c>
      <c r="D22" s="2"/>
    </row>
    <row r="23" spans="1:4" ht="14" x14ac:dyDescent="0.25">
      <c r="A23" s="2"/>
      <c r="B23" s="179"/>
      <c r="C23" s="24" t="s">
        <v>10</v>
      </c>
      <c r="D23" s="2"/>
    </row>
    <row r="24" spans="1:4" ht="14" x14ac:dyDescent="0.25">
      <c r="A24" s="2"/>
      <c r="B24" s="180"/>
      <c r="C24" s="24" t="s">
        <v>11</v>
      </c>
      <c r="D24" s="2"/>
    </row>
    <row r="25" spans="1:4" ht="14" x14ac:dyDescent="0.25">
      <c r="A25" s="2"/>
      <c r="B25" s="25"/>
      <c r="C25" s="24" t="s">
        <v>12</v>
      </c>
      <c r="D25" s="2"/>
    </row>
    <row r="26" spans="1:4" ht="14" x14ac:dyDescent="0.25">
      <c r="A26" s="2"/>
      <c r="B26" s="181"/>
      <c r="C26" s="24" t="s">
        <v>13</v>
      </c>
      <c r="D26" s="2"/>
    </row>
    <row r="27" spans="1:4" ht="14" x14ac:dyDescent="0.25">
      <c r="A27" s="2"/>
      <c r="B27" s="2"/>
      <c r="C27" s="2"/>
      <c r="D27" s="2"/>
    </row>
    <row r="28" spans="1:4" ht="15" customHeight="1" x14ac:dyDescent="0.25">
      <c r="A28" s="2"/>
      <c r="B28" s="436" t="s">
        <v>14</v>
      </c>
      <c r="C28" s="437"/>
      <c r="D28" s="2"/>
    </row>
    <row r="29" spans="1:4" ht="14" x14ac:dyDescent="0.3">
      <c r="A29" s="2"/>
      <c r="B29" s="96" t="s">
        <v>15</v>
      </c>
      <c r="C29" s="182">
        <v>2025</v>
      </c>
      <c r="D29" s="2"/>
    </row>
    <row r="30" spans="1:4" ht="14" x14ac:dyDescent="0.3">
      <c r="A30" s="2"/>
      <c r="B30" s="96" t="s">
        <v>16</v>
      </c>
      <c r="C30" s="182" t="s">
        <v>17</v>
      </c>
      <c r="D30" s="2"/>
    </row>
    <row r="31" spans="1:4" ht="14" x14ac:dyDescent="0.3">
      <c r="A31" s="2"/>
      <c r="B31" s="97" t="s">
        <v>18</v>
      </c>
      <c r="C31" s="183">
        <v>3</v>
      </c>
      <c r="D31" s="2"/>
    </row>
    <row r="32" spans="1:4" ht="14" x14ac:dyDescent="0.25">
      <c r="A32" s="2"/>
      <c r="B32" s="2"/>
      <c r="C32" s="2"/>
      <c r="D32" s="2"/>
    </row>
    <row r="33" spans="2:3" x14ac:dyDescent="0.25">
      <c r="B33" s="329" t="s">
        <v>19</v>
      </c>
      <c r="C33" s="327"/>
    </row>
    <row r="34" spans="2:3" x14ac:dyDescent="0.25">
      <c r="B34" s="330" t="s">
        <v>20</v>
      </c>
      <c r="C34" s="328"/>
    </row>
    <row r="35" spans="2:3" x14ac:dyDescent="0.25">
      <c r="B35" s="330" t="s">
        <v>21</v>
      </c>
      <c r="C35" s="328"/>
    </row>
    <row r="36" spans="2:3" x14ac:dyDescent="0.25">
      <c r="B36" s="330" t="s">
        <v>22</v>
      </c>
      <c r="C36" s="328"/>
    </row>
    <row r="37" spans="2:3" x14ac:dyDescent="0.25">
      <c r="B37" s="330" t="s">
        <v>23</v>
      </c>
      <c r="C37" s="328"/>
    </row>
    <row r="38" spans="2:3" x14ac:dyDescent="0.25">
      <c r="B38" s="330" t="s">
        <v>24</v>
      </c>
      <c r="C38" s="328"/>
    </row>
    <row r="39" spans="2:3" ht="12.75" customHeight="1" x14ac:dyDescent="0.25">
      <c r="B39" s="331" t="s">
        <v>25</v>
      </c>
      <c r="C39" s="328"/>
    </row>
  </sheetData>
  <mergeCells count="4">
    <mergeCell ref="B20:C20"/>
    <mergeCell ref="B13:C13"/>
    <mergeCell ref="B28:C28"/>
    <mergeCell ref="B12:C12"/>
  </mergeCells>
  <dataValidations count="1">
    <dataValidation type="list" allowBlank="1" showInputMessage="1" showErrorMessage="1" sqref="C30" xr:uid="{F7A7816F-43AC-47D5-B8FF-227559A81BC5}">
      <formula1>"SDE++,SCE"</formula1>
    </dataValidation>
  </dataValidations>
  <pageMargins left="0.75" right="0.75" top="1" bottom="1" header="0.5" footer="0.5"/>
  <pageSetup paperSize="9" orientation="portrait" r:id="rId1"/>
  <headerFooter alignWithMargins="0"/>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7ACD3-ED8F-463A-85C3-B6A4C6F2A433}">
  <sheetPr>
    <tabColor theme="7" tint="0.79998168889431442"/>
    <pageSetUpPr fitToPage="1"/>
  </sheetPr>
  <dimension ref="A1:AR199"/>
  <sheetViews>
    <sheetView showGridLines="0" topLeftCell="A104" zoomScaleNormal="100" workbookViewId="0">
      <selection activeCell="I127" sqref="I127"/>
    </sheetView>
  </sheetViews>
  <sheetFormatPr defaultColWidth="12.7265625" defaultRowHeight="12.5" x14ac:dyDescent="0.25"/>
  <cols>
    <col min="1" max="1" width="1.453125" style="350" customWidth="1"/>
    <col min="2" max="2" width="53.453125" style="350" customWidth="1"/>
    <col min="3" max="3" width="14.26953125" style="357" customWidth="1"/>
    <col min="4" max="4" width="29.26953125" style="357" bestFit="1" customWidth="1"/>
    <col min="5" max="5" width="20.26953125" style="350" customWidth="1"/>
    <col min="6" max="7" width="12.7265625" style="350" customWidth="1"/>
    <col min="8" max="12" width="12.7265625" style="350" bestFit="1"/>
    <col min="13" max="13" width="15.26953125" style="350" customWidth="1"/>
    <col min="14" max="16384" width="12.7265625" style="350"/>
  </cols>
  <sheetData>
    <row r="1" spans="1:44" ht="20" x14ac:dyDescent="0.4">
      <c r="A1" s="28" t="str">
        <f>CONCATENATE("Berekening basisbedragen: ", Colofon!C16)</f>
        <v>Berekening basisbedragen: Eindadvies SCE 2025</v>
      </c>
      <c r="B1" s="16"/>
      <c r="C1" s="29"/>
      <c r="D1" s="29"/>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row>
    <row r="2" spans="1:44" s="351" customFormat="1" ht="20" x14ac:dyDescent="0.4">
      <c r="A2" s="30" t="s">
        <v>509</v>
      </c>
      <c r="B2" s="31"/>
      <c r="C2" s="32"/>
      <c r="D2" s="32"/>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row>
    <row r="4" spans="1:44" x14ac:dyDescent="0.25">
      <c r="A4" s="16"/>
      <c r="B4" s="102" t="s">
        <v>299</v>
      </c>
      <c r="C4" s="103" t="s">
        <v>79</v>
      </c>
      <c r="D4" s="103" t="s">
        <v>136</v>
      </c>
      <c r="E4" s="445" t="s">
        <v>63</v>
      </c>
      <c r="F4" s="445"/>
      <c r="G4" s="445"/>
      <c r="H4" s="445"/>
      <c r="I4" s="445"/>
      <c r="J4" s="445"/>
      <c r="K4" s="445"/>
      <c r="L4" s="445"/>
      <c r="M4" s="44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row>
    <row r="5" spans="1:44" ht="13" x14ac:dyDescent="0.3">
      <c r="A5" s="16"/>
      <c r="B5" s="96" t="s">
        <v>37</v>
      </c>
      <c r="C5" s="313">
        <f>ROUND((C158-C150)/C151,4)</f>
        <v>9.5000000000000001E-2</v>
      </c>
      <c r="D5" s="98" t="str">
        <f>CONCATENATE("Euro/",$C$7)</f>
        <v>Euro/kWh</v>
      </c>
      <c r="E5" s="447" t="s">
        <v>300</v>
      </c>
      <c r="F5" s="447"/>
      <c r="G5" s="447"/>
      <c r="H5" s="447"/>
      <c r="I5" s="447"/>
      <c r="J5" s="447"/>
      <c r="K5" s="447"/>
      <c r="L5" s="447"/>
      <c r="M5" s="448"/>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row>
    <row r="6" spans="1:44" ht="13" x14ac:dyDescent="0.3">
      <c r="A6" s="16"/>
      <c r="B6" s="96" t="s">
        <v>301</v>
      </c>
      <c r="C6" s="135">
        <f>(ROUND(C5,4)-(ROUND(C173,4)+ROUND(C178,4)+ROUND(C172,4)))/ROUND(C70,4)*1000</f>
        <v>620.03179650238485</v>
      </c>
      <c r="D6" s="99" t="s">
        <v>302</v>
      </c>
      <c r="E6" s="447" t="s">
        <v>303</v>
      </c>
      <c r="F6" s="447"/>
      <c r="G6" s="447"/>
      <c r="H6" s="447"/>
      <c r="I6" s="447"/>
      <c r="J6" s="447"/>
      <c r="K6" s="447"/>
      <c r="L6" s="447"/>
      <c r="M6" s="448"/>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row>
    <row r="7" spans="1:44" ht="13" x14ac:dyDescent="0.3">
      <c r="A7" s="16"/>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A8" s="16"/>
      <c r="B8" s="96" t="s">
        <v>307</v>
      </c>
      <c r="C8" s="136" t="s">
        <v>308</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A9" s="16"/>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2" customFormat="1" ht="13" x14ac:dyDescent="0.3">
      <c r="A10" s="35"/>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A11" s="16"/>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A12" s="16"/>
      <c r="B12" s="104" t="s">
        <v>312</v>
      </c>
      <c r="C12" s="162"/>
      <c r="D12" s="105" t="str">
        <f>_xlfn.XLOOKUP(C12,Correcties!A4:A11,Correcties!B4:B11,"")</f>
        <v/>
      </c>
      <c r="E12" s="449">
        <f>IFERROR(INDEX(Correcties!$A$1:$I$301,MATCH('7'!C12,Correcties!$A$1:$A$301,0),5),"")</f>
        <v>0</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A13" s="16"/>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A14" s="16"/>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A15" s="16"/>
      <c r="B15" s="96" t="s">
        <v>318</v>
      </c>
      <c r="C15" s="421">
        <v>6.3</v>
      </c>
      <c r="D15" s="99" t="str">
        <f>_xlfn.XLOOKUP(C15,Correcties!A4:A11,Correcties!B4:B11,"")</f>
        <v>Elektriciteit-ZonPV-netlevering (negatieve uren niet meegenomen)</v>
      </c>
      <c r="E15" s="447" t="str">
        <f>"Enkel relevant voor zon-pv. "&amp;_xlfn.XLOOKUP(C15,Correcties!A4:A11,Correcties!E4:E11,"")</f>
        <v>Enkel relevant voor zon-pv. EPEX2 x PIF_PV2</v>
      </c>
      <c r="F15" s="447"/>
      <c r="G15" s="447"/>
      <c r="H15" s="447"/>
      <c r="I15" s="447"/>
      <c r="J15" s="447"/>
      <c r="K15" s="447"/>
      <c r="L15" s="447"/>
      <c r="M15" s="448"/>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4" x14ac:dyDescent="0.25">
      <c r="A16" s="16"/>
      <c r="B16" s="96" t="s">
        <v>319</v>
      </c>
      <c r="C16" s="167">
        <v>8.3000000000000007</v>
      </c>
      <c r="D16" s="99" t="str">
        <f>_xlfn.XLOOKUP(C16,Correcties!A4:A11,Correcties!B4:B11,"")</f>
        <v>Elektricteit-ZonPV-niet-netlevering, groot (negatieve uren niet meegenomen)</v>
      </c>
      <c r="E16" s="447" t="str">
        <f>"Enkel relevant voor zon-pv. "&amp;_xlfn.XLOOKUP(C16,Correcties!A4:A11,Correcties!E4:E11,"")</f>
        <v>Enkel relevant voor zon-pv. EPEX2 x PIF_PV + EB3_e + ODE3_e</v>
      </c>
      <c r="F16" s="447"/>
      <c r="G16" s="447"/>
      <c r="H16" s="447"/>
      <c r="I16" s="447"/>
      <c r="J16" s="447"/>
      <c r="K16" s="447"/>
      <c r="L16" s="447"/>
      <c r="M16" s="448"/>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2:13" x14ac:dyDescent="0.25">
      <c r="B17" s="96" t="s">
        <v>320</v>
      </c>
      <c r="C17" s="163"/>
      <c r="D17" s="99"/>
      <c r="E17" s="447" t="s">
        <v>321</v>
      </c>
      <c r="F17" s="447"/>
      <c r="G17" s="447"/>
      <c r="H17" s="447"/>
      <c r="I17" s="447"/>
      <c r="J17" s="447"/>
      <c r="K17" s="447"/>
      <c r="L17" s="447"/>
      <c r="M17" s="448"/>
    </row>
    <row r="18" spans="2:13" x14ac:dyDescent="0.25">
      <c r="B18" s="97" t="s">
        <v>322</v>
      </c>
      <c r="C18" s="164"/>
      <c r="D18" s="107"/>
      <c r="E18" s="451" t="s">
        <v>323</v>
      </c>
      <c r="F18" s="451"/>
      <c r="G18" s="451"/>
      <c r="H18" s="451"/>
      <c r="I18" s="451"/>
      <c r="J18" s="451"/>
      <c r="K18" s="451"/>
      <c r="L18" s="451"/>
      <c r="M18" s="452"/>
    </row>
    <row r="19" spans="2:13" x14ac:dyDescent="0.25">
      <c r="B19" s="16"/>
      <c r="C19" s="37"/>
      <c r="D19" s="29"/>
      <c r="E19" s="16"/>
      <c r="F19" s="16"/>
      <c r="G19" s="16"/>
      <c r="H19" s="16"/>
      <c r="I19" s="16"/>
      <c r="J19" s="16"/>
      <c r="K19" s="16"/>
      <c r="L19" s="16"/>
      <c r="M19" s="16"/>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394"/>
      <c r="D24" s="99"/>
      <c r="E24" s="447" t="s">
        <v>331</v>
      </c>
      <c r="F24" s="447"/>
      <c r="G24" s="447"/>
      <c r="H24" s="447"/>
      <c r="I24" s="447"/>
      <c r="J24" s="447"/>
      <c r="K24" s="447"/>
      <c r="L24" s="447"/>
      <c r="M24" s="448"/>
    </row>
    <row r="25" spans="2:13" x14ac:dyDescent="0.25">
      <c r="B25" s="108" t="s">
        <v>332</v>
      </c>
      <c r="C25" s="137">
        <f>IF(C23="JA",IF(C24&lt;&gt;"",C21*C180/C176/C24,0),0)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IF(C23="JA",IF(C26=0,,C26*C180/C177),0)</f>
        <v>0</v>
      </c>
      <c r="D27" s="99" t="s">
        <v>333</v>
      </c>
      <c r="E27" s="447"/>
      <c r="F27" s="447"/>
      <c r="G27" s="447"/>
      <c r="H27" s="447"/>
      <c r="I27" s="447"/>
      <c r="J27" s="447"/>
      <c r="K27" s="447"/>
      <c r="L27" s="447"/>
      <c r="M27" s="448"/>
    </row>
    <row r="28" spans="2:13" x14ac:dyDescent="0.25">
      <c r="B28" s="96" t="s">
        <v>337</v>
      </c>
      <c r="C28" s="167">
        <v>10000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740</v>
      </c>
      <c r="D30" s="107" t="s">
        <v>340</v>
      </c>
      <c r="E30" s="451" t="s">
        <v>341</v>
      </c>
      <c r="F30" s="451"/>
      <c r="G30" s="451"/>
      <c r="H30" s="451"/>
      <c r="I30" s="451"/>
      <c r="J30" s="451"/>
      <c r="K30" s="451"/>
      <c r="L30" s="451"/>
      <c r="M30" s="452"/>
    </row>
    <row r="31" spans="2:13" x14ac:dyDescent="0.25">
      <c r="B31" s="16"/>
      <c r="C31" s="39"/>
      <c r="D31" s="2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395">
        <f>IF(C21&gt;0,C28/C21,IF(C28&gt;0,1,0))</f>
        <v>1</v>
      </c>
      <c r="D33" s="99"/>
      <c r="E33" s="447"/>
      <c r="F33" s="447"/>
      <c r="G33" s="447"/>
      <c r="H33" s="447"/>
      <c r="I33" s="447"/>
      <c r="J33" s="447"/>
      <c r="K33" s="447"/>
      <c r="L33" s="447"/>
      <c r="M33" s="448"/>
    </row>
    <row r="34" spans="2:13" x14ac:dyDescent="0.25">
      <c r="B34" s="96" t="s">
        <v>345</v>
      </c>
      <c r="C34" s="395">
        <f>IF(C28&gt;0,C33-C36*C33*(C26*C29)/(C28*C30),)</f>
        <v>1</v>
      </c>
      <c r="D34" s="99"/>
      <c r="E34" s="447"/>
      <c r="F34" s="447"/>
      <c r="G34" s="447"/>
      <c r="H34" s="447"/>
      <c r="I34" s="447"/>
      <c r="J34" s="447"/>
      <c r="K34" s="447"/>
      <c r="L34" s="447"/>
      <c r="M34" s="448"/>
    </row>
    <row r="35" spans="2:13" x14ac:dyDescent="0.25">
      <c r="B35" s="96" t="s">
        <v>346</v>
      </c>
      <c r="C35" s="396">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B37" s="16"/>
      <c r="C37" s="397"/>
      <c r="D37" s="29"/>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v>516</v>
      </c>
      <c r="D39" s="99" t="str">
        <f>CONCATENATE("Euro/",$C$8)</f>
        <v>Euro/kW</v>
      </c>
      <c r="E39" s="447" t="s">
        <v>352</v>
      </c>
      <c r="F39" s="447"/>
      <c r="G39" s="447"/>
      <c r="H39" s="447"/>
      <c r="I39" s="447"/>
      <c r="J39" s="447"/>
      <c r="K39" s="447"/>
      <c r="L39" s="447"/>
      <c r="M39" s="448"/>
    </row>
    <row r="40" spans="2:13" x14ac:dyDescent="0.25">
      <c r="B40" s="109" t="s">
        <v>353</v>
      </c>
      <c r="C40" s="160"/>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5.1986999999999997</v>
      </c>
      <c r="D41" s="99" t="s">
        <v>355</v>
      </c>
      <c r="E41" s="447"/>
      <c r="F41" s="447"/>
      <c r="G41" s="447"/>
      <c r="H41" s="447"/>
      <c r="I41" s="447"/>
      <c r="J41" s="447"/>
      <c r="K41" s="447"/>
      <c r="L41" s="447"/>
      <c r="M41" s="448"/>
    </row>
    <row r="42" spans="2:13" x14ac:dyDescent="0.25">
      <c r="B42" s="109" t="s">
        <v>356</v>
      </c>
      <c r="C42" s="165">
        <v>18.899999999999999</v>
      </c>
      <c r="D42" s="99" t="str">
        <f>CONCATENATE("Euro/",$C$8,"/jaar")</f>
        <v>Euro/kW/jaar</v>
      </c>
      <c r="E42" s="447" t="s">
        <v>357</v>
      </c>
      <c r="F42" s="447"/>
      <c r="G42" s="447"/>
      <c r="H42" s="447"/>
      <c r="I42" s="447"/>
      <c r="J42" s="447"/>
      <c r="K42" s="447"/>
      <c r="L42" s="447"/>
      <c r="M42" s="448"/>
    </row>
    <row r="43" spans="2:13" x14ac:dyDescent="0.25">
      <c r="B43" s="109" t="s">
        <v>358</v>
      </c>
      <c r="C43" s="165"/>
      <c r="D43" s="99" t="str">
        <f>CONCATENATE("Euro/",$C$8,"/jaar")</f>
        <v>Euro/kW/jaar</v>
      </c>
      <c r="E43" s="447" t="s">
        <v>357</v>
      </c>
      <c r="F43" s="447"/>
      <c r="G43" s="447"/>
      <c r="H43" s="447"/>
      <c r="I43" s="447"/>
      <c r="J43" s="447"/>
      <c r="K43" s="447"/>
      <c r="L43" s="447"/>
      <c r="M43" s="448"/>
    </row>
    <row r="44" spans="2:13" x14ac:dyDescent="0.25">
      <c r="B44" s="96" t="s">
        <v>359</v>
      </c>
      <c r="C44" s="398">
        <f>(C42*C21+C43*SUM(C26,C28))/1000</f>
        <v>189</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2.8999999999999998E-3</v>
      </c>
      <c r="D48" s="99" t="str">
        <f>CONCATENATE("Euro/",$C$7)</f>
        <v>Euro/kWh</v>
      </c>
      <c r="E48" s="447"/>
      <c r="F48" s="447"/>
      <c r="G48" s="447"/>
      <c r="H48" s="447"/>
      <c r="I48" s="447"/>
      <c r="J48" s="447"/>
      <c r="K48" s="447"/>
      <c r="L48" s="447"/>
      <c r="M48" s="448"/>
    </row>
    <row r="49" spans="2:13" x14ac:dyDescent="0.25">
      <c r="B49" s="97" t="s">
        <v>366</v>
      </c>
      <c r="C49" s="142">
        <f>SUM(C45:C48)</f>
        <v>2.8999999999999998E-3</v>
      </c>
      <c r="D49" s="107" t="str">
        <f>CONCATENATE("Euro/",$C$7)</f>
        <v>Euro/kWh</v>
      </c>
      <c r="E49" s="451"/>
      <c r="F49" s="451"/>
      <c r="G49" s="451"/>
      <c r="H49" s="451"/>
      <c r="I49" s="451"/>
      <c r="J49" s="451"/>
      <c r="K49" s="451"/>
      <c r="L49" s="451"/>
      <c r="M49" s="452"/>
    </row>
    <row r="50" spans="2:13" x14ac:dyDescent="0.25">
      <c r="B50" s="16"/>
      <c r="C50" s="397"/>
      <c r="D50" s="29"/>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IF(C52=0,,C21*MAX(C29,C30)*C180/C52/1000)</f>
        <v>0</v>
      </c>
      <c r="D53" s="99" t="s">
        <v>371</v>
      </c>
      <c r="E53" s="455"/>
      <c r="F53" s="455"/>
      <c r="G53" s="455"/>
      <c r="H53" s="455"/>
      <c r="I53" s="455"/>
      <c r="J53" s="455"/>
      <c r="K53" s="455"/>
      <c r="L53" s="455"/>
      <c r="M53" s="456"/>
    </row>
    <row r="54" spans="2:13" x14ac:dyDescent="0.25">
      <c r="B54" s="96" t="s">
        <v>372</v>
      </c>
      <c r="C54" s="399"/>
      <c r="D54" s="99" t="s">
        <v>373</v>
      </c>
      <c r="E54" s="447" t="s">
        <v>374</v>
      </c>
      <c r="F54" s="447"/>
      <c r="G54" s="447"/>
      <c r="H54" s="447"/>
      <c r="I54" s="447"/>
      <c r="J54" s="447"/>
      <c r="K54" s="447"/>
      <c r="L54" s="447"/>
      <c r="M54" s="448"/>
    </row>
    <row r="55" spans="2:13" x14ac:dyDescent="0.25">
      <c r="B55" s="96" t="s">
        <v>375</v>
      </c>
      <c r="C55" s="399"/>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399"/>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399"/>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B61" s="16"/>
      <c r="C61" s="397"/>
      <c r="D61" s="29"/>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400"/>
      <c r="D63" s="99" t="str">
        <f>IF(AND(C26&gt;0,C23=""),CONCATENATE("kg CO2/",$C$7),"kg CO2/kWh")</f>
        <v>kg CO2/kWh</v>
      </c>
      <c r="E63" s="447"/>
      <c r="F63" s="447"/>
      <c r="G63" s="447"/>
      <c r="H63" s="447"/>
      <c r="I63" s="447"/>
      <c r="J63" s="447"/>
      <c r="K63" s="447"/>
      <c r="L63" s="447"/>
      <c r="M63" s="448"/>
    </row>
    <row r="64" spans="2:13" x14ac:dyDescent="0.25">
      <c r="B64" s="96" t="s">
        <v>384</v>
      </c>
      <c r="C64" s="400">
        <v>4.8000000000000001E-2</v>
      </c>
      <c r="D64" s="99" t="str">
        <f>IF(C28&gt;0,CONCATENATE("kg CO2/",$C$7),"kg CO2/kWh")</f>
        <v>kg CO2/kWh</v>
      </c>
      <c r="E64" s="447"/>
      <c r="F64" s="447"/>
      <c r="G64" s="447"/>
      <c r="H64" s="447"/>
      <c r="I64" s="447"/>
      <c r="J64" s="447"/>
      <c r="K64" s="447"/>
      <c r="L64" s="447"/>
      <c r="M64" s="448"/>
    </row>
    <row r="65" spans="2:13" x14ac:dyDescent="0.25">
      <c r="B65" s="96" t="s">
        <v>385</v>
      </c>
      <c r="C65" s="400"/>
      <c r="D65" s="99" t="str">
        <f>IF(C23="Ja",CONCATENATE("kg CO2/",$C$7),"kg CO2/kWh")</f>
        <v>kg CO2/kWh</v>
      </c>
      <c r="E65" s="447"/>
      <c r="F65" s="447"/>
      <c r="G65" s="447"/>
      <c r="H65" s="447"/>
      <c r="I65" s="447"/>
      <c r="J65" s="447"/>
      <c r="K65" s="447"/>
      <c r="L65" s="447"/>
      <c r="M65" s="448"/>
    </row>
    <row r="66" spans="2:13" x14ac:dyDescent="0.25">
      <c r="B66" s="96" t="s">
        <v>386</v>
      </c>
      <c r="C66" s="399"/>
      <c r="D66" s="99" t="s">
        <v>387</v>
      </c>
      <c r="E66" s="447" t="s">
        <v>388</v>
      </c>
      <c r="F66" s="447"/>
      <c r="G66" s="447"/>
      <c r="H66" s="447"/>
      <c r="I66" s="447"/>
      <c r="J66" s="447"/>
      <c r="K66" s="447"/>
      <c r="L66" s="447"/>
      <c r="M66" s="448"/>
    </row>
    <row r="67" spans="2:13" x14ac:dyDescent="0.25">
      <c r="B67" s="96" t="s">
        <v>389</v>
      </c>
      <c r="C67" s="401"/>
      <c r="D67" s="99" t="s">
        <v>390</v>
      </c>
      <c r="E67" s="447"/>
      <c r="F67" s="447"/>
      <c r="G67" s="447"/>
      <c r="H67" s="447"/>
      <c r="I67" s="447"/>
      <c r="J67" s="447"/>
      <c r="K67" s="447"/>
      <c r="L67" s="447"/>
      <c r="M67" s="448"/>
    </row>
    <row r="68" spans="2:13" x14ac:dyDescent="0.25">
      <c r="B68" s="96" t="s">
        <v>391</v>
      </c>
      <c r="C68" s="401"/>
      <c r="D68" s="99" t="s">
        <v>390</v>
      </c>
      <c r="E68" s="447"/>
      <c r="F68" s="447"/>
      <c r="G68" s="447"/>
      <c r="H68" s="447"/>
      <c r="I68" s="447"/>
      <c r="J68" s="447"/>
      <c r="K68" s="447"/>
      <c r="L68" s="447"/>
      <c r="M68" s="448"/>
    </row>
    <row r="69" spans="2:13" x14ac:dyDescent="0.25">
      <c r="B69" s="96" t="s">
        <v>392</v>
      </c>
      <c r="C69" s="401"/>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6.2899999999999998E-2</v>
      </c>
      <c r="D70" s="107" t="str">
        <f>CONCATENATE("kg CO2/",$C$7)</f>
        <v>kg CO2/kWh</v>
      </c>
      <c r="E70" s="451"/>
      <c r="F70" s="451"/>
      <c r="G70" s="451"/>
      <c r="H70" s="451"/>
      <c r="I70" s="451"/>
      <c r="J70" s="451"/>
      <c r="K70" s="451"/>
      <c r="L70" s="451"/>
      <c r="M70" s="452"/>
    </row>
    <row r="71" spans="2:13" x14ac:dyDescent="0.25">
      <c r="B71" s="16"/>
      <c r="C71" s="397"/>
      <c r="D71" s="29"/>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40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B78" s="16"/>
      <c r="C78" s="397"/>
      <c r="D78" s="29"/>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03">
        <v>5.45E-2</v>
      </c>
      <c r="D80" s="99" t="s">
        <v>406</v>
      </c>
      <c r="E80" s="447" t="s">
        <v>407</v>
      </c>
      <c r="F80" s="447"/>
      <c r="G80" s="447"/>
      <c r="H80" s="447"/>
      <c r="I80" s="447"/>
      <c r="J80" s="447"/>
      <c r="K80" s="447"/>
      <c r="L80" s="447"/>
      <c r="M80" s="448"/>
    </row>
    <row r="81" spans="2:13" x14ac:dyDescent="0.25">
      <c r="B81" s="96" t="s">
        <v>408</v>
      </c>
      <c r="C81" s="399">
        <v>690</v>
      </c>
      <c r="D81" s="99" t="s">
        <v>340</v>
      </c>
      <c r="E81" s="447"/>
      <c r="F81" s="447"/>
      <c r="G81" s="447"/>
      <c r="H81" s="447"/>
      <c r="I81" s="447"/>
      <c r="J81" s="447"/>
      <c r="K81" s="447"/>
      <c r="L81" s="447"/>
      <c r="M81" s="448"/>
    </row>
    <row r="82" spans="2:13" x14ac:dyDescent="0.25">
      <c r="B82" s="96" t="s">
        <v>410</v>
      </c>
      <c r="C82" s="403"/>
      <c r="D82" s="99" t="s">
        <v>406</v>
      </c>
      <c r="E82" s="447"/>
      <c r="F82" s="447"/>
      <c r="G82" s="447"/>
      <c r="H82" s="447"/>
      <c r="I82" s="447"/>
      <c r="J82" s="447"/>
      <c r="K82" s="447"/>
      <c r="L82" s="447"/>
      <c r="M82" s="448"/>
    </row>
    <row r="83" spans="2:13" x14ac:dyDescent="0.25">
      <c r="B83" s="96" t="s">
        <v>411</v>
      </c>
      <c r="C83" s="399"/>
      <c r="D83" s="99" t="s">
        <v>340</v>
      </c>
      <c r="E83" s="447"/>
      <c r="F83" s="447"/>
      <c r="G83" s="447"/>
      <c r="H83" s="447"/>
      <c r="I83" s="447"/>
      <c r="J83" s="447"/>
      <c r="K83" s="447"/>
      <c r="L83" s="447"/>
      <c r="M83" s="448"/>
    </row>
    <row r="84" spans="2:13" x14ac:dyDescent="0.25">
      <c r="B84" s="96" t="s">
        <v>412</v>
      </c>
      <c r="C84" s="404">
        <f>SUM(E118:INDEX(E118:AR118,1,C76))</f>
        <v>111000000</v>
      </c>
      <c r="D84" s="98" t="str">
        <f>C7</f>
        <v>kWh</v>
      </c>
      <c r="E84" s="447"/>
      <c r="F84" s="447"/>
      <c r="G84" s="447"/>
      <c r="H84" s="447"/>
      <c r="I84" s="447"/>
      <c r="J84" s="447"/>
      <c r="K84" s="447"/>
      <c r="L84" s="447"/>
      <c r="M84" s="448"/>
    </row>
    <row r="85" spans="2:13" x14ac:dyDescent="0.25">
      <c r="B85" s="113" t="s">
        <v>413</v>
      </c>
      <c r="C85" s="404">
        <f>IF(C77=0,SUM(E118:INDEX(E118:AR118,1,C73)),SUM(E118:INDEX(E118:AR118,1,C77)))</f>
        <v>145500000</v>
      </c>
      <c r="D85" s="98" t="str">
        <f>C7</f>
        <v>kWh</v>
      </c>
      <c r="E85" s="447"/>
      <c r="F85" s="447"/>
      <c r="G85" s="447"/>
      <c r="H85" s="447"/>
      <c r="I85" s="447"/>
      <c r="J85" s="447"/>
      <c r="K85" s="447"/>
      <c r="L85" s="447"/>
      <c r="M85" s="448"/>
    </row>
    <row r="86" spans="2:13" x14ac:dyDescent="0.25">
      <c r="B86" s="114" t="s">
        <v>414</v>
      </c>
      <c r="C86" s="146">
        <f>C85/C84</f>
        <v>1.3108108108108107</v>
      </c>
      <c r="D86" s="107"/>
      <c r="E86" s="451"/>
      <c r="F86" s="451"/>
      <c r="G86" s="451"/>
      <c r="H86" s="451"/>
      <c r="I86" s="451"/>
      <c r="J86" s="451"/>
      <c r="K86" s="451"/>
      <c r="L86" s="451"/>
      <c r="M86" s="452"/>
    </row>
    <row r="87" spans="2:13" x14ac:dyDescent="0.25">
      <c r="B87" s="16"/>
      <c r="C87" s="397"/>
      <c r="D87" s="29"/>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05">
        <v>0.04</v>
      </c>
      <c r="D90" s="99"/>
      <c r="E90" s="447"/>
      <c r="F90" s="447"/>
      <c r="G90" s="447"/>
      <c r="H90" s="447"/>
      <c r="I90" s="447"/>
      <c r="J90" s="447"/>
      <c r="K90" s="447"/>
      <c r="L90" s="447"/>
      <c r="M90" s="448"/>
    </row>
    <row r="91" spans="2:13" x14ac:dyDescent="0.25">
      <c r="B91" s="96" t="s">
        <v>418</v>
      </c>
      <c r="C91" s="405">
        <v>6.5000000000000002E-2</v>
      </c>
      <c r="D91" s="99"/>
      <c r="E91" s="447"/>
      <c r="F91" s="447"/>
      <c r="G91" s="447"/>
      <c r="H91" s="447"/>
      <c r="I91" s="447"/>
      <c r="J91" s="447"/>
      <c r="K91" s="447"/>
      <c r="L91" s="447"/>
      <c r="M91" s="448"/>
    </row>
    <row r="92" spans="2:13" x14ac:dyDescent="0.25">
      <c r="B92" s="112" t="s">
        <v>419</v>
      </c>
      <c r="C92" s="396">
        <f>100%-C93</f>
        <v>0.75</v>
      </c>
      <c r="D92" s="99"/>
      <c r="E92" s="447"/>
      <c r="F92" s="447"/>
      <c r="G92" s="447"/>
      <c r="H92" s="447"/>
      <c r="I92" s="447"/>
      <c r="J92" s="447"/>
      <c r="K92" s="447"/>
      <c r="L92" s="447"/>
      <c r="M92" s="448"/>
    </row>
    <row r="93" spans="2:13" x14ac:dyDescent="0.25">
      <c r="B93" s="96" t="s">
        <v>420</v>
      </c>
      <c r="C93" s="406">
        <v>0.25</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B95" s="16"/>
      <c r="C95" s="397"/>
      <c r="D95" s="29"/>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A97" s="16"/>
      <c r="B97" s="96" t="s">
        <v>423</v>
      </c>
      <c r="C97" s="48"/>
      <c r="D97" s="99" t="s">
        <v>424</v>
      </c>
      <c r="E97" s="447"/>
      <c r="F97" s="447"/>
      <c r="G97" s="447"/>
      <c r="H97" s="447"/>
      <c r="I97" s="447"/>
      <c r="J97" s="447"/>
      <c r="K97" s="447"/>
      <c r="L97" s="447"/>
      <c r="M97" s="448"/>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row>
    <row r="98" spans="1:44" x14ac:dyDescent="0.25">
      <c r="A98" s="16"/>
      <c r="B98" s="97" t="s">
        <v>425</v>
      </c>
      <c r="C98" s="49"/>
      <c r="D98" s="107" t="s">
        <v>424</v>
      </c>
      <c r="E98" s="451"/>
      <c r="F98" s="451"/>
      <c r="G98" s="451"/>
      <c r="H98" s="451"/>
      <c r="I98" s="451"/>
      <c r="J98" s="451"/>
      <c r="K98" s="451"/>
      <c r="L98" s="451"/>
      <c r="M98" s="452"/>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row>
    <row r="99" spans="1:44" x14ac:dyDescent="0.25">
      <c r="A99" s="16"/>
      <c r="B99" s="16"/>
      <c r="C99" s="397"/>
      <c r="D99" s="29"/>
      <c r="E99" s="40"/>
      <c r="F99" s="40"/>
      <c r="G99" s="40"/>
      <c r="H99" s="40"/>
      <c r="I99" s="40"/>
      <c r="J99" s="40"/>
      <c r="K99" s="40"/>
      <c r="L99" s="40"/>
      <c r="M99" s="40"/>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row>
    <row r="100" spans="1:44" x14ac:dyDescent="0.25">
      <c r="A100" s="16"/>
      <c r="B100" s="102" t="s">
        <v>426</v>
      </c>
      <c r="C100" s="103" t="s">
        <v>79</v>
      </c>
      <c r="D100" s="103"/>
      <c r="E100" s="445" t="s">
        <v>63</v>
      </c>
      <c r="F100" s="445"/>
      <c r="G100" s="445"/>
      <c r="H100" s="445"/>
      <c r="I100" s="445"/>
      <c r="J100" s="445"/>
      <c r="K100" s="445"/>
      <c r="L100" s="445"/>
      <c r="M100" s="44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row>
    <row r="101" spans="1:44" x14ac:dyDescent="0.25">
      <c r="A101" s="16"/>
      <c r="B101" s="108" t="s">
        <v>79</v>
      </c>
      <c r="C101" s="407">
        <v>13</v>
      </c>
      <c r="D101" s="408">
        <v>-130000</v>
      </c>
      <c r="E101" s="447" t="s">
        <v>504</v>
      </c>
      <c r="F101" s="447"/>
      <c r="G101" s="447"/>
      <c r="H101" s="447"/>
      <c r="I101" s="447"/>
      <c r="J101" s="447"/>
      <c r="K101" s="447"/>
      <c r="L101" s="447"/>
      <c r="M101" s="448"/>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row>
    <row r="102" spans="1:44" x14ac:dyDescent="0.25">
      <c r="A102" s="16"/>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row>
    <row r="103" spans="1:44" s="16" customFormat="1" x14ac:dyDescent="0.25">
      <c r="B103" s="108" t="s">
        <v>428</v>
      </c>
      <c r="C103" s="359"/>
      <c r="D103" s="99"/>
      <c r="E103" s="284" t="s">
        <v>429</v>
      </c>
      <c r="F103" s="284"/>
      <c r="G103" s="284"/>
      <c r="H103" s="284"/>
      <c r="I103" s="284"/>
      <c r="J103" s="284"/>
      <c r="K103" s="284"/>
      <c r="L103" s="284"/>
      <c r="M103" s="285"/>
    </row>
    <row r="104" spans="1:44" x14ac:dyDescent="0.25">
      <c r="A104" s="16"/>
      <c r="B104" s="114" t="s">
        <v>430</v>
      </c>
      <c r="C104" s="50">
        <v>0</v>
      </c>
      <c r="D104" s="175">
        <v>0.01</v>
      </c>
      <c r="E104" s="451" t="s">
        <v>431</v>
      </c>
      <c r="F104" s="451"/>
      <c r="G104" s="451"/>
      <c r="H104" s="451"/>
      <c r="I104" s="451"/>
      <c r="J104" s="451"/>
      <c r="K104" s="451"/>
      <c r="L104" s="451"/>
      <c r="M104" s="452"/>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row>
    <row r="105" spans="1:44" x14ac:dyDescent="0.25">
      <c r="A105" s="16"/>
      <c r="B105" s="16"/>
      <c r="C105" s="29"/>
      <c r="D105" s="29"/>
      <c r="E105" s="51"/>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row>
    <row r="106" spans="1:44" s="353" customFormat="1" x14ac:dyDescent="0.25">
      <c r="A106" s="16"/>
      <c r="B106" s="102" t="s">
        <v>432</v>
      </c>
      <c r="C106" s="103"/>
      <c r="D106" s="103" t="s">
        <v>136</v>
      </c>
      <c r="E106" s="103">
        <f>Colofon!C29</f>
        <v>2025</v>
      </c>
      <c r="F106" s="103">
        <f t="shared" ref="F106:AR106" si="0">E106+1</f>
        <v>2026</v>
      </c>
      <c r="G106" s="103">
        <f t="shared" si="0"/>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354" customFormat="1" ht="13.5" customHeight="1" x14ac:dyDescent="0.35">
      <c r="A107" s="53"/>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354" customFormat="1" ht="13.5" customHeight="1" x14ac:dyDescent="0.35">
      <c r="A108" s="53"/>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A109" s="16"/>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c r="A110" s="16"/>
      <c r="B110" s="16"/>
      <c r="C110" s="29"/>
      <c r="D110" s="29"/>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row>
    <row r="111" spans="1:44" ht="13" x14ac:dyDescent="0.25">
      <c r="A111" s="16"/>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A112" s="16"/>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-5198700</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7400000</v>
      </c>
      <c r="F115" s="379">
        <f t="shared" si="4"/>
        <v>7400000</v>
      </c>
      <c r="G115" s="379">
        <f t="shared" si="4"/>
        <v>7400000</v>
      </c>
      <c r="H115" s="379">
        <f t="shared" si="4"/>
        <v>7400000</v>
      </c>
      <c r="I115" s="379">
        <f t="shared" si="4"/>
        <v>7400000</v>
      </c>
      <c r="J115" s="379">
        <f t="shared" si="4"/>
        <v>7400000</v>
      </c>
      <c r="K115" s="379">
        <f t="shared" si="4"/>
        <v>7400000</v>
      </c>
      <c r="L115" s="379">
        <f t="shared" si="4"/>
        <v>7400000</v>
      </c>
      <c r="M115" s="379">
        <f t="shared" si="4"/>
        <v>7400000</v>
      </c>
      <c r="N115" s="379">
        <f t="shared" si="4"/>
        <v>7400000</v>
      </c>
      <c r="O115" s="379">
        <f t="shared" si="4"/>
        <v>7400000</v>
      </c>
      <c r="P115" s="379">
        <f t="shared" si="4"/>
        <v>7400000</v>
      </c>
      <c r="Q115" s="379">
        <f t="shared" si="4"/>
        <v>7400000</v>
      </c>
      <c r="R115" s="379">
        <f t="shared" si="4"/>
        <v>7400000</v>
      </c>
      <c r="S115" s="379">
        <f t="shared" si="4"/>
        <v>7400000</v>
      </c>
      <c r="T115" s="379">
        <f t="shared" si="4"/>
        <v>6900000</v>
      </c>
      <c r="U115" s="379">
        <f t="shared" si="4"/>
        <v>6900000</v>
      </c>
      <c r="V115" s="379">
        <f t="shared" si="4"/>
        <v>6900000</v>
      </c>
      <c r="W115" s="379">
        <f t="shared" si="4"/>
        <v>6900000</v>
      </c>
      <c r="X115" s="379">
        <f t="shared" si="4"/>
        <v>6900000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IF(OR(E112&gt;$C$73,$C$23&lt;&gt;"JA"),0,$C$26*$C$29*$C$183/$C$182)</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 t="shared" ref="E118:AR118" si="7">SUM(E115:E117)</f>
        <v>7400000</v>
      </c>
      <c r="F118" s="150">
        <f t="shared" si="7"/>
        <v>7400000</v>
      </c>
      <c r="G118" s="150">
        <f t="shared" si="7"/>
        <v>7400000</v>
      </c>
      <c r="H118" s="150">
        <f t="shared" si="7"/>
        <v>7400000</v>
      </c>
      <c r="I118" s="150">
        <f t="shared" si="7"/>
        <v>7400000</v>
      </c>
      <c r="J118" s="150">
        <f t="shared" si="7"/>
        <v>7400000</v>
      </c>
      <c r="K118" s="150">
        <f t="shared" si="7"/>
        <v>7400000</v>
      </c>
      <c r="L118" s="150">
        <f t="shared" si="7"/>
        <v>7400000</v>
      </c>
      <c r="M118" s="150">
        <f t="shared" si="7"/>
        <v>7400000</v>
      </c>
      <c r="N118" s="150">
        <f t="shared" si="7"/>
        <v>7400000</v>
      </c>
      <c r="O118" s="150">
        <f t="shared" si="7"/>
        <v>7400000</v>
      </c>
      <c r="P118" s="150">
        <f t="shared" si="7"/>
        <v>7400000</v>
      </c>
      <c r="Q118" s="150">
        <f t="shared" si="7"/>
        <v>7400000</v>
      </c>
      <c r="R118" s="150">
        <f t="shared" si="7"/>
        <v>7400000</v>
      </c>
      <c r="S118" s="150">
        <f t="shared" si="7"/>
        <v>7400000</v>
      </c>
      <c r="T118" s="150">
        <f t="shared" si="7"/>
        <v>6900000</v>
      </c>
      <c r="U118" s="150">
        <f t="shared" si="7"/>
        <v>6900000</v>
      </c>
      <c r="V118" s="150">
        <f t="shared" si="7"/>
        <v>6900000</v>
      </c>
      <c r="W118" s="150">
        <f t="shared" si="7"/>
        <v>6900000</v>
      </c>
      <c r="X118" s="150">
        <f t="shared" si="7"/>
        <v>6900000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-210460</v>
      </c>
      <c r="F120" s="379">
        <f t="shared" ref="F120:AR120" si="8">IF(F112&gt;$C$73,0,-F109*(($C$42*$C$21+$C$43*SUM($C$26,$C$28))+F118*$C$49))+IF($C$101=F112,$D$101*F109,0)+IF($C$102=F112,$D$102*F109,0)+IF($C$103=F112,$D$103*F109,0)</f>
        <v>-214669.2</v>
      </c>
      <c r="G120" s="379">
        <f t="shared" si="8"/>
        <v>-218962.584</v>
      </c>
      <c r="H120" s="379">
        <f t="shared" si="8"/>
        <v>-223341.83567999999</v>
      </c>
      <c r="I120" s="379">
        <f t="shared" si="8"/>
        <v>-227808.67239359999</v>
      </c>
      <c r="J120" s="379">
        <f t="shared" si="8"/>
        <v>-232364.84584147201</v>
      </c>
      <c r="K120" s="379">
        <f t="shared" si="8"/>
        <v>-237012.14275830146</v>
      </c>
      <c r="L120" s="379">
        <f t="shared" si="8"/>
        <v>-241752.38561346743</v>
      </c>
      <c r="M120" s="379">
        <f t="shared" si="8"/>
        <v>-246587.43332573681</v>
      </c>
      <c r="N120" s="379">
        <f t="shared" si="8"/>
        <v>-251519.18199225154</v>
      </c>
      <c r="O120" s="379">
        <f t="shared" si="8"/>
        <v>-256549.56563209658</v>
      </c>
      <c r="P120" s="379">
        <f t="shared" si="8"/>
        <v>-261680.55694473846</v>
      </c>
      <c r="Q120" s="379">
        <f t="shared" si="8"/>
        <v>-431785.60137676419</v>
      </c>
      <c r="R120" s="379">
        <f t="shared" si="8"/>
        <v>-272252.45144530595</v>
      </c>
      <c r="S120" s="379">
        <f t="shared" si="8"/>
        <v>-277697.50047421205</v>
      </c>
      <c r="T120" s="379">
        <f t="shared" si="8"/>
        <v>-281299.94139312627</v>
      </c>
      <c r="U120" s="379">
        <f t="shared" si="8"/>
        <v>-286925.94022098882</v>
      </c>
      <c r="V120" s="379">
        <f t="shared" si="8"/>
        <v>-292664.45902540861</v>
      </c>
      <c r="W120" s="379">
        <f t="shared" si="8"/>
        <v>-298517.74820591678</v>
      </c>
      <c r="X120" s="379">
        <f t="shared" si="8"/>
        <v>-304488.10317003506</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-E109*$C$54/$C$52*$C$21*MAX($C$29,$C$30)*$C$184/1000)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7.3349824438665043E-2</v>
      </c>
      <c r="U122" s="382">
        <f t="shared" si="10"/>
        <v>7.4816820927438354E-2</v>
      </c>
      <c r="V122" s="382">
        <f t="shared" si="10"/>
        <v>7.6313157345987134E-2</v>
      </c>
      <c r="W122" s="382">
        <f t="shared" si="10"/>
        <v>7.7839420492906861E-2</v>
      </c>
      <c r="X122" s="382">
        <f t="shared" si="10"/>
        <v>7.9396208902764998E-2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 t="shared" ref="E126:AR126" si="14">MAX(0,E125-E124)*E118</f>
        <v>0</v>
      </c>
      <c r="F126" s="379">
        <f t="shared" si="14"/>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506113.78862678877</v>
      </c>
      <c r="U127" s="379">
        <f t="shared" si="15"/>
        <v>516236.06439932465</v>
      </c>
      <c r="V127" s="379">
        <f t="shared" si="15"/>
        <v>526560.7856873112</v>
      </c>
      <c r="W127" s="379">
        <f t="shared" si="15"/>
        <v>537092.00140105735</v>
      </c>
      <c r="X127" s="379">
        <f t="shared" si="15"/>
        <v>547833.84142907849</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 t="shared" ref="E128:AR128" si="16">E124*E118</f>
        <v>0</v>
      </c>
      <c r="F128" s="379">
        <f t="shared" si="16"/>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A129" s="16"/>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A130" s="16"/>
      <c r="B130" s="118" t="s">
        <v>456</v>
      </c>
      <c r="C130" s="373" t="s">
        <v>424</v>
      </c>
      <c r="D130" s="373"/>
      <c r="E130" s="379">
        <f t="shared" ref="E130:AR130" si="17">SUM(E126:E128)</f>
        <v>0</v>
      </c>
      <c r="F130" s="379">
        <f t="shared" si="17"/>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506113.78862678877</v>
      </c>
      <c r="U130" s="379">
        <f t="shared" si="17"/>
        <v>516236.06439932465</v>
      </c>
      <c r="V130" s="379">
        <f t="shared" si="17"/>
        <v>526560.7856873112</v>
      </c>
      <c r="W130" s="379">
        <f t="shared" si="17"/>
        <v>537092.00140105735</v>
      </c>
      <c r="X130" s="379">
        <f t="shared" si="17"/>
        <v>547833.84142907849</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A131" s="16"/>
      <c r="B131" s="118" t="s">
        <v>457</v>
      </c>
      <c r="C131" s="373" t="s">
        <v>424</v>
      </c>
      <c r="D131" s="373"/>
      <c r="E131" s="379">
        <f t="shared" ref="E131:AR131" si="18">SUM(E120:E121)</f>
        <v>-210460</v>
      </c>
      <c r="F131" s="379">
        <f t="shared" si="18"/>
        <v>-214669.2</v>
      </c>
      <c r="G131" s="379">
        <f t="shared" si="18"/>
        <v>-218962.584</v>
      </c>
      <c r="H131" s="379">
        <f t="shared" si="18"/>
        <v>-223341.83567999999</v>
      </c>
      <c r="I131" s="379">
        <f t="shared" si="18"/>
        <v>-227808.67239359999</v>
      </c>
      <c r="J131" s="379">
        <f t="shared" si="18"/>
        <v>-232364.84584147201</v>
      </c>
      <c r="K131" s="379">
        <f t="shared" si="18"/>
        <v>-237012.14275830146</v>
      </c>
      <c r="L131" s="379">
        <f t="shared" si="18"/>
        <v>-241752.38561346743</v>
      </c>
      <c r="M131" s="379">
        <f t="shared" si="18"/>
        <v>-246587.43332573681</v>
      </c>
      <c r="N131" s="379">
        <f t="shared" si="18"/>
        <v>-251519.18199225154</v>
      </c>
      <c r="O131" s="379">
        <f t="shared" si="18"/>
        <v>-256549.56563209658</v>
      </c>
      <c r="P131" s="379">
        <f t="shared" si="18"/>
        <v>-261680.55694473846</v>
      </c>
      <c r="Q131" s="379">
        <f t="shared" si="18"/>
        <v>-431785.60137676419</v>
      </c>
      <c r="R131" s="379">
        <f t="shared" si="18"/>
        <v>-272252.45144530595</v>
      </c>
      <c r="S131" s="379">
        <f t="shared" si="18"/>
        <v>-277697.50047421205</v>
      </c>
      <c r="T131" s="379">
        <f t="shared" si="18"/>
        <v>-281299.94139312627</v>
      </c>
      <c r="U131" s="379">
        <f t="shared" si="18"/>
        <v>-286925.94022098882</v>
      </c>
      <c r="V131" s="379">
        <f t="shared" si="18"/>
        <v>-292664.45902540861</v>
      </c>
      <c r="W131" s="379">
        <f t="shared" si="18"/>
        <v>-298517.74820591678</v>
      </c>
      <c r="X131" s="379">
        <f t="shared" si="18"/>
        <v>-304488.10317003506</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A132" s="16"/>
      <c r="B132" s="149" t="s">
        <v>458</v>
      </c>
      <c r="C132" s="381" t="s">
        <v>424</v>
      </c>
      <c r="D132" s="385"/>
      <c r="E132" s="386">
        <f t="shared" ref="E132:AR132" si="19">SUM(E130:E131)</f>
        <v>-210460</v>
      </c>
      <c r="F132" s="386">
        <f t="shared" si="19"/>
        <v>-214669.2</v>
      </c>
      <c r="G132" s="386">
        <f t="shared" si="19"/>
        <v>-218962.584</v>
      </c>
      <c r="H132" s="386">
        <f t="shared" si="19"/>
        <v>-223341.83567999999</v>
      </c>
      <c r="I132" s="386">
        <f t="shared" si="19"/>
        <v>-227808.67239359999</v>
      </c>
      <c r="J132" s="386">
        <f t="shared" si="19"/>
        <v>-232364.84584147201</v>
      </c>
      <c r="K132" s="386">
        <f t="shared" si="19"/>
        <v>-237012.14275830146</v>
      </c>
      <c r="L132" s="386">
        <f t="shared" si="19"/>
        <v>-241752.38561346743</v>
      </c>
      <c r="M132" s="386">
        <f t="shared" si="19"/>
        <v>-246587.43332573681</v>
      </c>
      <c r="N132" s="386">
        <f t="shared" si="19"/>
        <v>-251519.18199225154</v>
      </c>
      <c r="O132" s="386">
        <f t="shared" si="19"/>
        <v>-256549.56563209658</v>
      </c>
      <c r="P132" s="386">
        <f t="shared" si="19"/>
        <v>-261680.55694473846</v>
      </c>
      <c r="Q132" s="386">
        <f t="shared" si="19"/>
        <v>-431785.60137676419</v>
      </c>
      <c r="R132" s="386">
        <f t="shared" si="19"/>
        <v>-272252.45144530595</v>
      </c>
      <c r="S132" s="386">
        <f t="shared" si="19"/>
        <v>-277697.50047421205</v>
      </c>
      <c r="T132" s="386">
        <f t="shared" si="19"/>
        <v>224813.8472336625</v>
      </c>
      <c r="U132" s="386">
        <f t="shared" si="19"/>
        <v>229310.12417833583</v>
      </c>
      <c r="V132" s="386">
        <f t="shared" si="19"/>
        <v>233896.3266619026</v>
      </c>
      <c r="W132" s="386">
        <f t="shared" si="19"/>
        <v>238574.25319514057</v>
      </c>
      <c r="X132" s="386">
        <f t="shared" si="19"/>
        <v>243345.73825904343</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A133" s="16"/>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A134" s="16"/>
      <c r="B134" s="118" t="s">
        <v>460</v>
      </c>
      <c r="C134" s="373" t="s">
        <v>424</v>
      </c>
      <c r="D134" s="373"/>
      <c r="E134" s="379">
        <f t="shared" ref="E134:AR134" si="20">IF(E112&gt;$C$75,0,-$C$152/$C$75)</f>
        <v>-346580</v>
      </c>
      <c r="F134" s="379">
        <f t="shared" si="20"/>
        <v>-346580</v>
      </c>
      <c r="G134" s="379">
        <f t="shared" si="20"/>
        <v>-346580</v>
      </c>
      <c r="H134" s="379">
        <f t="shared" si="20"/>
        <v>-346580</v>
      </c>
      <c r="I134" s="379">
        <f t="shared" si="20"/>
        <v>-346580</v>
      </c>
      <c r="J134" s="379">
        <f t="shared" si="20"/>
        <v>-346580</v>
      </c>
      <c r="K134" s="379">
        <f t="shared" si="20"/>
        <v>-346580</v>
      </c>
      <c r="L134" s="379">
        <f t="shared" si="20"/>
        <v>-346580</v>
      </c>
      <c r="M134" s="379">
        <f t="shared" si="20"/>
        <v>-346580</v>
      </c>
      <c r="N134" s="379">
        <f t="shared" si="20"/>
        <v>-346580</v>
      </c>
      <c r="O134" s="379">
        <f t="shared" si="20"/>
        <v>-346580</v>
      </c>
      <c r="P134" s="379">
        <f t="shared" si="20"/>
        <v>-346580</v>
      </c>
      <c r="Q134" s="379">
        <f t="shared" si="20"/>
        <v>-346580</v>
      </c>
      <c r="R134" s="379">
        <f t="shared" si="20"/>
        <v>-346580</v>
      </c>
      <c r="S134" s="379">
        <f t="shared" si="20"/>
        <v>-346580</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A135" s="16"/>
      <c r="B135" s="118" t="s">
        <v>461</v>
      </c>
      <c r="C135" s="373" t="s">
        <v>424</v>
      </c>
      <c r="D135" s="373"/>
      <c r="E135" s="379">
        <f t="shared" ref="E135:AR135" si="21">IF(E112&gt;$C$74,0,IPMT($C$90,E112,$C$74,$C$157))</f>
        <v>-155961.00000000003</v>
      </c>
      <c r="F135" s="379">
        <f t="shared" si="21"/>
        <v>-148172.13604504266</v>
      </c>
      <c r="G135" s="379">
        <f t="shared" si="21"/>
        <v>-140071.71753188703</v>
      </c>
      <c r="H135" s="379">
        <f t="shared" si="21"/>
        <v>-131647.28227820515</v>
      </c>
      <c r="I135" s="379">
        <f t="shared" si="21"/>
        <v>-122885.869614376</v>
      </c>
      <c r="J135" s="379">
        <f t="shared" si="21"/>
        <v>-113774.00044399366</v>
      </c>
      <c r="K135" s="379">
        <f t="shared" si="21"/>
        <v>-104297.65650679608</v>
      </c>
      <c r="L135" s="379">
        <f t="shared" si="21"/>
        <v>-94442.258812110551</v>
      </c>
      <c r="M135" s="379">
        <f t="shared" si="21"/>
        <v>-84192.645209637645</v>
      </c>
      <c r="N135" s="379">
        <f t="shared" si="21"/>
        <v>-73533.047063065795</v>
      </c>
      <c r="O135" s="379">
        <f t="shared" si="21"/>
        <v>-62447.064990631072</v>
      </c>
      <c r="P135" s="379">
        <f t="shared" si="21"/>
        <v>-50917.643635298962</v>
      </c>
      <c r="Q135" s="379">
        <f t="shared" si="21"/>
        <v>-38927.045425753575</v>
      </c>
      <c r="R135" s="379">
        <f t="shared" si="21"/>
        <v>-26456.823287826363</v>
      </c>
      <c r="S135" s="379">
        <f t="shared" si="21"/>
        <v>-13487.792264382069</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A136" s="16"/>
      <c r="B136" s="118" t="s">
        <v>462</v>
      </c>
      <c r="C136" s="373" t="s">
        <v>424</v>
      </c>
      <c r="D136" s="373"/>
      <c r="E136" s="379">
        <f t="shared" ref="E136:AR136" si="22">IF(E112&gt;$C$74,0,PPMT($C$90,E112,$C$74,$C$157))</f>
        <v>-194721.59887393381</v>
      </c>
      <c r="F136" s="379">
        <f t="shared" si="22"/>
        <v>-202510.46282889112</v>
      </c>
      <c r="G136" s="379">
        <f t="shared" si="22"/>
        <v>-210610.88134204675</v>
      </c>
      <c r="H136" s="379">
        <f t="shared" si="22"/>
        <v>-219035.31659572865</v>
      </c>
      <c r="I136" s="379">
        <f t="shared" si="22"/>
        <v>-227796.72925955779</v>
      </c>
      <c r="J136" s="379">
        <f t="shared" si="22"/>
        <v>-236908.59842994009</v>
      </c>
      <c r="K136" s="379">
        <f t="shared" si="22"/>
        <v>-246384.9423671377</v>
      </c>
      <c r="L136" s="379">
        <f t="shared" si="22"/>
        <v>-256240.3400618232</v>
      </c>
      <c r="M136" s="379">
        <f t="shared" si="22"/>
        <v>-266489.95366429619</v>
      </c>
      <c r="N136" s="379">
        <f t="shared" si="22"/>
        <v>-277149.55181086797</v>
      </c>
      <c r="O136" s="379">
        <f t="shared" si="22"/>
        <v>-288235.53388330271</v>
      </c>
      <c r="P136" s="379">
        <f t="shared" si="22"/>
        <v>-299764.95523863478</v>
      </c>
      <c r="Q136" s="379">
        <f t="shared" si="22"/>
        <v>-311755.5534481802</v>
      </c>
      <c r="R136" s="379">
        <f t="shared" si="22"/>
        <v>-324225.7755861074</v>
      </c>
      <c r="S136" s="379">
        <f t="shared" si="22"/>
        <v>-337194.80660955171</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355" customFormat="1" ht="13" x14ac:dyDescent="0.3">
      <c r="A137" s="16"/>
      <c r="B137" s="149" t="s">
        <v>463</v>
      </c>
      <c r="C137" s="381" t="s">
        <v>424</v>
      </c>
      <c r="D137" s="381"/>
      <c r="E137" s="386">
        <f t="shared" ref="E137:AR137" si="23">SUM(E135,E136)</f>
        <v>-350682.59887393384</v>
      </c>
      <c r="F137" s="386">
        <f t="shared" si="23"/>
        <v>-350682.59887393378</v>
      </c>
      <c r="G137" s="386">
        <f t="shared" si="23"/>
        <v>-350682.59887393378</v>
      </c>
      <c r="H137" s="386">
        <f t="shared" si="23"/>
        <v>-350682.59887393378</v>
      </c>
      <c r="I137" s="386">
        <f t="shared" si="23"/>
        <v>-350682.59887393378</v>
      </c>
      <c r="J137" s="386">
        <f t="shared" si="23"/>
        <v>-350682.59887393378</v>
      </c>
      <c r="K137" s="386">
        <f t="shared" si="23"/>
        <v>-350682.59887393378</v>
      </c>
      <c r="L137" s="386">
        <f t="shared" si="23"/>
        <v>-350682.59887393378</v>
      </c>
      <c r="M137" s="386">
        <f t="shared" si="23"/>
        <v>-350682.59887393384</v>
      </c>
      <c r="N137" s="386">
        <f t="shared" si="23"/>
        <v>-350682.59887393378</v>
      </c>
      <c r="O137" s="386">
        <f t="shared" si="23"/>
        <v>-350682.59887393378</v>
      </c>
      <c r="P137" s="386">
        <f t="shared" si="23"/>
        <v>-350682.59887393372</v>
      </c>
      <c r="Q137" s="386">
        <f t="shared" si="23"/>
        <v>-350682.59887393378</v>
      </c>
      <c r="R137" s="386">
        <f t="shared" si="23"/>
        <v>-350682.59887393378</v>
      </c>
      <c r="S137" s="386">
        <f t="shared" si="23"/>
        <v>-350682.59887393378</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A138" s="16"/>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A139" s="16"/>
      <c r="B139" s="118" t="s">
        <v>465</v>
      </c>
      <c r="C139" s="373" t="s">
        <v>424</v>
      </c>
      <c r="D139" s="373"/>
      <c r="E139" s="379">
        <f t="shared" ref="E139:AR139" si="24">E132+E134+E135</f>
        <v>-713001</v>
      </c>
      <c r="F139" s="379">
        <f t="shared" si="24"/>
        <v>-709421.33604504261</v>
      </c>
      <c r="G139" s="379">
        <f t="shared" si="24"/>
        <v>-705614.30153188703</v>
      </c>
      <c r="H139" s="379">
        <f t="shared" si="24"/>
        <v>-701569.11795820517</v>
      </c>
      <c r="I139" s="379">
        <f t="shared" si="24"/>
        <v>-697274.54200797598</v>
      </c>
      <c r="J139" s="379">
        <f t="shared" si="24"/>
        <v>-692718.84628546564</v>
      </c>
      <c r="K139" s="379">
        <f t="shared" si="24"/>
        <v>-687889.79926509759</v>
      </c>
      <c r="L139" s="379">
        <f t="shared" si="24"/>
        <v>-682774.64442557795</v>
      </c>
      <c r="M139" s="379">
        <f t="shared" si="24"/>
        <v>-677360.07853537449</v>
      </c>
      <c r="N139" s="379">
        <f t="shared" si="24"/>
        <v>-671632.22905531735</v>
      </c>
      <c r="O139" s="379">
        <f t="shared" si="24"/>
        <v>-665576.63062272768</v>
      </c>
      <c r="P139" s="379">
        <f t="shared" si="24"/>
        <v>-659178.20058003743</v>
      </c>
      <c r="Q139" s="379">
        <f t="shared" si="24"/>
        <v>-817292.64680251782</v>
      </c>
      <c r="R139" s="379">
        <f t="shared" si="24"/>
        <v>-645289.27473313233</v>
      </c>
      <c r="S139" s="379">
        <f t="shared" si="24"/>
        <v>-637765.29273859411</v>
      </c>
      <c r="T139" s="379">
        <f t="shared" si="24"/>
        <v>224813.8472336625</v>
      </c>
      <c r="U139" s="379">
        <f t="shared" si="24"/>
        <v>229310.12417833583</v>
      </c>
      <c r="V139" s="379">
        <f t="shared" si="24"/>
        <v>233896.3266619026</v>
      </c>
      <c r="W139" s="379">
        <f t="shared" si="24"/>
        <v>238574.25319514057</v>
      </c>
      <c r="X139" s="379">
        <f t="shared" si="24"/>
        <v>243345.73825904343</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A140" s="16"/>
      <c r="B140" s="118" t="s">
        <v>466</v>
      </c>
      <c r="C140" s="373" t="s">
        <v>424</v>
      </c>
      <c r="D140" s="373"/>
      <c r="E140" s="379">
        <f t="shared" ref="E140:AR140" si="25">-$C$94*E139</f>
        <v>135470.19</v>
      </c>
      <c r="F140" s="379">
        <f t="shared" si="25"/>
        <v>134790.05384855811</v>
      </c>
      <c r="G140" s="379">
        <f t="shared" si="25"/>
        <v>134066.71729105854</v>
      </c>
      <c r="H140" s="379">
        <f t="shared" si="25"/>
        <v>133298.13241205897</v>
      </c>
      <c r="I140" s="379">
        <f t="shared" si="25"/>
        <v>132482.16298151543</v>
      </c>
      <c r="J140" s="379">
        <f t="shared" si="25"/>
        <v>131616.58079423849</v>
      </c>
      <c r="K140" s="379">
        <f t="shared" si="25"/>
        <v>130699.06186036854</v>
      </c>
      <c r="L140" s="379">
        <f t="shared" si="25"/>
        <v>129727.18244085982</v>
      </c>
      <c r="M140" s="379">
        <f t="shared" si="25"/>
        <v>128698.41492172115</v>
      </c>
      <c r="N140" s="379">
        <f t="shared" si="25"/>
        <v>127610.1235205103</v>
      </c>
      <c r="O140" s="379">
        <f t="shared" si="25"/>
        <v>126459.55981831826</v>
      </c>
      <c r="P140" s="379">
        <f t="shared" si="25"/>
        <v>125243.85811020712</v>
      </c>
      <c r="Q140" s="379">
        <f t="shared" si="25"/>
        <v>155285.60289247837</v>
      </c>
      <c r="R140" s="379">
        <f t="shared" si="25"/>
        <v>122604.96219929514</v>
      </c>
      <c r="S140" s="379">
        <f t="shared" si="25"/>
        <v>121175.40562033288</v>
      </c>
      <c r="T140" s="379">
        <f t="shared" si="25"/>
        <v>-42714.630974395877</v>
      </c>
      <c r="U140" s="379">
        <f t="shared" si="25"/>
        <v>-43568.92359388381</v>
      </c>
      <c r="V140" s="379">
        <f t="shared" si="25"/>
        <v>-44440.302065761491</v>
      </c>
      <c r="W140" s="379">
        <f t="shared" si="25"/>
        <v>-45329.10810707671</v>
      </c>
      <c r="X140" s="379">
        <f t="shared" si="25"/>
        <v>-46235.690269218248</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A141" s="16"/>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A142" s="16"/>
      <c r="B142" s="149" t="s">
        <v>468</v>
      </c>
      <c r="C142" s="381" t="s">
        <v>424</v>
      </c>
      <c r="D142" s="381"/>
      <c r="E142" s="386">
        <f t="shared" ref="E142:AR142" si="26">E132+E137+E140</f>
        <v>-425672.40887393377</v>
      </c>
      <c r="F142" s="386">
        <f t="shared" si="26"/>
        <v>-430561.74502537563</v>
      </c>
      <c r="G142" s="386">
        <f t="shared" si="26"/>
        <v>-435578.4655828753</v>
      </c>
      <c r="H142" s="386">
        <f t="shared" si="26"/>
        <v>-440726.3021418748</v>
      </c>
      <c r="I142" s="386">
        <f t="shared" si="26"/>
        <v>-446009.10828601837</v>
      </c>
      <c r="J142" s="386">
        <f t="shared" si="26"/>
        <v>-451430.86392116733</v>
      </c>
      <c r="K142" s="386">
        <f t="shared" si="26"/>
        <v>-456995.67977186671</v>
      </c>
      <c r="L142" s="386">
        <f t="shared" si="26"/>
        <v>-462707.80204654136</v>
      </c>
      <c r="M142" s="386">
        <f t="shared" si="26"/>
        <v>-468571.61727794952</v>
      </c>
      <c r="N142" s="386">
        <f t="shared" si="26"/>
        <v>-474591.65734567505</v>
      </c>
      <c r="O142" s="386">
        <f t="shared" si="26"/>
        <v>-480772.60468771216</v>
      </c>
      <c r="P142" s="386">
        <f t="shared" si="26"/>
        <v>-487119.29770846502</v>
      </c>
      <c r="Q142" s="386">
        <f t="shared" si="26"/>
        <v>-627182.59735821967</v>
      </c>
      <c r="R142" s="386">
        <f t="shared" si="26"/>
        <v>-500330.08811994456</v>
      </c>
      <c r="S142" s="386">
        <f t="shared" si="26"/>
        <v>-507204.6937278129</v>
      </c>
      <c r="T142" s="386">
        <f t="shared" si="26"/>
        <v>182099.21625926663</v>
      </c>
      <c r="U142" s="386">
        <f t="shared" si="26"/>
        <v>185741.20058445202</v>
      </c>
      <c r="V142" s="386">
        <f t="shared" si="26"/>
        <v>189456.0245961411</v>
      </c>
      <c r="W142" s="386">
        <f t="shared" si="26"/>
        <v>193245.14508806384</v>
      </c>
      <c r="X142" s="386">
        <f t="shared" si="26"/>
        <v>197110.04798982519</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A143" s="16"/>
      <c r="B143" s="118" t="s">
        <v>469</v>
      </c>
      <c r="C143" s="373" t="s">
        <v>424</v>
      </c>
      <c r="D143" s="384">
        <f>-SUM(C157:C158)</f>
        <v>-5198700</v>
      </c>
      <c r="E143" s="379">
        <f t="shared" ref="E143:AR143" si="27">E132+E140</f>
        <v>-74989.81</v>
      </c>
      <c r="F143" s="379">
        <f t="shared" si="27"/>
        <v>-79879.146151441906</v>
      </c>
      <c r="G143" s="379">
        <f t="shared" si="27"/>
        <v>-84895.866708941467</v>
      </c>
      <c r="H143" s="379">
        <f t="shared" si="27"/>
        <v>-90043.703267941019</v>
      </c>
      <c r="I143" s="379">
        <f t="shared" si="27"/>
        <v>-95326.509412084561</v>
      </c>
      <c r="J143" s="379">
        <f t="shared" si="27"/>
        <v>-100748.26504723352</v>
      </c>
      <c r="K143" s="379">
        <f t="shared" si="27"/>
        <v>-106313.08089793292</v>
      </c>
      <c r="L143" s="379">
        <f t="shared" si="27"/>
        <v>-112025.20317260761</v>
      </c>
      <c r="M143" s="379">
        <f t="shared" si="27"/>
        <v>-117889.01840401566</v>
      </c>
      <c r="N143" s="379">
        <f t="shared" si="27"/>
        <v>-123909.05847174124</v>
      </c>
      <c r="O143" s="379">
        <f t="shared" si="27"/>
        <v>-130090.00581377832</v>
      </c>
      <c r="P143" s="379">
        <f t="shared" si="27"/>
        <v>-136436.69883453136</v>
      </c>
      <c r="Q143" s="379">
        <f t="shared" si="27"/>
        <v>-276499.99848428578</v>
      </c>
      <c r="R143" s="379">
        <f t="shared" si="27"/>
        <v>-149647.48924601081</v>
      </c>
      <c r="S143" s="379">
        <f t="shared" si="27"/>
        <v>-156522.09485387919</v>
      </c>
      <c r="T143" s="379">
        <f t="shared" si="27"/>
        <v>182099.21625926663</v>
      </c>
      <c r="U143" s="379">
        <f t="shared" si="27"/>
        <v>185741.20058445202</v>
      </c>
      <c r="V143" s="379">
        <f t="shared" si="27"/>
        <v>189456.0245961411</v>
      </c>
      <c r="W143" s="379">
        <f t="shared" si="27"/>
        <v>193245.14508806384</v>
      </c>
      <c r="X143" s="379">
        <f t="shared" si="27"/>
        <v>197110.04798982519</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A144" s="16"/>
      <c r="B144" s="118" t="s">
        <v>470</v>
      </c>
      <c r="C144" s="373" t="s">
        <v>424</v>
      </c>
      <c r="D144" s="384">
        <f>-C158</f>
        <v>-1299675</v>
      </c>
      <c r="E144" s="379">
        <f t="shared" ref="E144:AR144" si="28">E142</f>
        <v>-425672.40887393377</v>
      </c>
      <c r="F144" s="379">
        <f t="shared" si="28"/>
        <v>-430561.74502537563</v>
      </c>
      <c r="G144" s="379">
        <f t="shared" si="28"/>
        <v>-435578.4655828753</v>
      </c>
      <c r="H144" s="379">
        <f t="shared" si="28"/>
        <v>-440726.3021418748</v>
      </c>
      <c r="I144" s="379">
        <f t="shared" si="28"/>
        <v>-446009.10828601837</v>
      </c>
      <c r="J144" s="379">
        <f t="shared" si="28"/>
        <v>-451430.86392116733</v>
      </c>
      <c r="K144" s="379">
        <f t="shared" si="28"/>
        <v>-456995.67977186671</v>
      </c>
      <c r="L144" s="379">
        <f t="shared" si="28"/>
        <v>-462707.80204654136</v>
      </c>
      <c r="M144" s="379">
        <f t="shared" si="28"/>
        <v>-468571.61727794952</v>
      </c>
      <c r="N144" s="379">
        <f t="shared" si="28"/>
        <v>-474591.65734567505</v>
      </c>
      <c r="O144" s="379">
        <f t="shared" si="28"/>
        <v>-480772.60468771216</v>
      </c>
      <c r="P144" s="379">
        <f t="shared" si="28"/>
        <v>-487119.29770846502</v>
      </c>
      <c r="Q144" s="379">
        <f t="shared" si="28"/>
        <v>-627182.59735821967</v>
      </c>
      <c r="R144" s="379">
        <f t="shared" si="28"/>
        <v>-500330.08811994456</v>
      </c>
      <c r="S144" s="379">
        <f t="shared" si="28"/>
        <v>-507204.6937278129</v>
      </c>
      <c r="T144" s="379">
        <f t="shared" si="28"/>
        <v>182099.21625926663</v>
      </c>
      <c r="U144" s="379">
        <f t="shared" si="28"/>
        <v>185741.20058445202</v>
      </c>
      <c r="V144" s="379">
        <f t="shared" si="28"/>
        <v>189456.0245961411</v>
      </c>
      <c r="W144" s="379">
        <f t="shared" si="28"/>
        <v>193245.14508806384</v>
      </c>
      <c r="X144" s="379">
        <f t="shared" si="28"/>
        <v>197110.04798982519</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A145" s="16"/>
      <c r="B145" s="118" t="s">
        <v>471</v>
      </c>
      <c r="C145" s="378" t="str">
        <f>$C$7</f>
        <v>kWh</v>
      </c>
      <c r="D145" s="373"/>
      <c r="E145" s="379">
        <f t="shared" ref="E145:AR145" si="29">IF(E112&gt;$C$76,0,E118)</f>
        <v>7400000</v>
      </c>
      <c r="F145" s="379">
        <f t="shared" si="29"/>
        <v>7400000</v>
      </c>
      <c r="G145" s="379">
        <f t="shared" si="29"/>
        <v>7400000</v>
      </c>
      <c r="H145" s="379">
        <f t="shared" si="29"/>
        <v>7400000</v>
      </c>
      <c r="I145" s="379">
        <f t="shared" si="29"/>
        <v>7400000</v>
      </c>
      <c r="J145" s="379">
        <f t="shared" si="29"/>
        <v>7400000</v>
      </c>
      <c r="K145" s="379">
        <f t="shared" si="29"/>
        <v>7400000</v>
      </c>
      <c r="L145" s="379">
        <f t="shared" si="29"/>
        <v>7400000</v>
      </c>
      <c r="M145" s="379">
        <f t="shared" si="29"/>
        <v>7400000</v>
      </c>
      <c r="N145" s="379">
        <f t="shared" si="29"/>
        <v>7400000</v>
      </c>
      <c r="O145" s="379">
        <f t="shared" si="29"/>
        <v>7400000</v>
      </c>
      <c r="P145" s="379">
        <f t="shared" si="29"/>
        <v>7400000</v>
      </c>
      <c r="Q145" s="379">
        <f t="shared" si="29"/>
        <v>7400000</v>
      </c>
      <c r="R145" s="379">
        <f t="shared" si="29"/>
        <v>7400000</v>
      </c>
      <c r="S145" s="379">
        <f t="shared" si="29"/>
        <v>7400000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A146" s="16"/>
      <c r="B146" s="122" t="s">
        <v>472</v>
      </c>
      <c r="C146" s="373" t="s">
        <v>424</v>
      </c>
      <c r="D146" s="123">
        <f>-D113</f>
        <v>5198700</v>
      </c>
      <c r="E146" s="123">
        <f t="shared" ref="E146:AR146" si="30">IF(E112&lt;=$C76,D146-($C$5*E118+E132+E135),D146-(E132+E135))</f>
        <v>4862121</v>
      </c>
      <c r="F146" s="123">
        <f t="shared" si="30"/>
        <v>4521962.3360450426</v>
      </c>
      <c r="G146" s="123">
        <f t="shared" si="30"/>
        <v>4177996.6375769298</v>
      </c>
      <c r="H146" s="123">
        <f t="shared" si="30"/>
        <v>3829985.755535135</v>
      </c>
      <c r="I146" s="123">
        <f t="shared" si="30"/>
        <v>3477680.2975431113</v>
      </c>
      <c r="J146" s="123">
        <f t="shared" si="30"/>
        <v>3120819.1438285769</v>
      </c>
      <c r="K146" s="123">
        <f t="shared" si="30"/>
        <v>2759128.9430936743</v>
      </c>
      <c r="L146" s="123">
        <f t="shared" si="30"/>
        <v>2392323.5875192522</v>
      </c>
      <c r="M146" s="123">
        <f t="shared" si="30"/>
        <v>2020103.6660546267</v>
      </c>
      <c r="N146" s="123">
        <f t="shared" si="30"/>
        <v>1642155.895109944</v>
      </c>
      <c r="O146" s="123">
        <f t="shared" si="30"/>
        <v>1258152.5257326718</v>
      </c>
      <c r="P146" s="123">
        <f t="shared" si="30"/>
        <v>867750.72631270927</v>
      </c>
      <c r="Q146" s="123">
        <f t="shared" si="30"/>
        <v>635463.37311522709</v>
      </c>
      <c r="R146" s="123">
        <f t="shared" si="30"/>
        <v>231172.64784835943</v>
      </c>
      <c r="S146" s="123">
        <f t="shared" si="30"/>
        <v>-180642.05941304646</v>
      </c>
      <c r="T146" s="123">
        <f t="shared" si="30"/>
        <v>-405455.90664670896</v>
      </c>
      <c r="U146" s="123">
        <f t="shared" si="30"/>
        <v>-634766.03082504473</v>
      </c>
      <c r="V146" s="123">
        <f t="shared" si="30"/>
        <v>-868662.35748694732</v>
      </c>
      <c r="W146" s="123">
        <f t="shared" si="30"/>
        <v>-1107236.610682088</v>
      </c>
      <c r="X146" s="123">
        <f t="shared" si="30"/>
        <v>-1350582.3489411315</v>
      </c>
      <c r="Y146" s="123">
        <f t="shared" si="30"/>
        <v>-1350582.3489411315</v>
      </c>
      <c r="Z146" s="123">
        <f t="shared" si="30"/>
        <v>-1350582.3489411315</v>
      </c>
      <c r="AA146" s="123">
        <f t="shared" si="30"/>
        <v>-1350582.3489411315</v>
      </c>
      <c r="AB146" s="123">
        <f t="shared" si="30"/>
        <v>-1350582.3489411315</v>
      </c>
      <c r="AC146" s="123">
        <f t="shared" si="30"/>
        <v>-1350582.3489411315</v>
      </c>
      <c r="AD146" s="123">
        <f t="shared" si="30"/>
        <v>-1350582.3489411315</v>
      </c>
      <c r="AE146" s="123">
        <f t="shared" si="30"/>
        <v>-1350582.3489411315</v>
      </c>
      <c r="AF146" s="123">
        <f t="shared" si="30"/>
        <v>-1350582.3489411315</v>
      </c>
      <c r="AG146" s="123">
        <f t="shared" si="30"/>
        <v>-1350582.3489411315</v>
      </c>
      <c r="AH146" s="123">
        <f t="shared" si="30"/>
        <v>-1350582.3489411315</v>
      </c>
      <c r="AI146" s="123">
        <f t="shared" si="30"/>
        <v>-1350582.3489411315</v>
      </c>
      <c r="AJ146" s="123">
        <f t="shared" si="30"/>
        <v>-1350582.3489411315</v>
      </c>
      <c r="AK146" s="123">
        <f t="shared" si="30"/>
        <v>-1350582.3489411315</v>
      </c>
      <c r="AL146" s="123">
        <f t="shared" si="30"/>
        <v>-1350582.3489411315</v>
      </c>
      <c r="AM146" s="123">
        <f t="shared" si="30"/>
        <v>-1350582.3489411315</v>
      </c>
      <c r="AN146" s="123">
        <f t="shared" si="30"/>
        <v>-1350582.3489411315</v>
      </c>
      <c r="AO146" s="123">
        <f t="shared" si="30"/>
        <v>-1350582.3489411315</v>
      </c>
      <c r="AP146" s="123">
        <f t="shared" si="30"/>
        <v>-1350582.3489411315</v>
      </c>
      <c r="AQ146" s="123">
        <f t="shared" si="30"/>
        <v>-1350582.3489411315</v>
      </c>
      <c r="AR146" s="387">
        <f t="shared" si="30"/>
        <v>-1350582.3489411315</v>
      </c>
    </row>
    <row r="147" spans="1:44" ht="13" thickBot="1" x14ac:dyDescent="0.3">
      <c r="A147" s="16"/>
      <c r="B147" s="124" t="s">
        <v>473</v>
      </c>
      <c r="C147" s="125"/>
      <c r="D147" s="125"/>
      <c r="E147" s="126">
        <f t="shared" ref="E147:AR147" si="31">IF(E112&gt;$C$74,"",(-$C$94*(E139+$C$5*E118)+E132+$C$5*E118)/-E137)</f>
        <v>1.409936482698833</v>
      </c>
      <c r="F147" s="126">
        <f t="shared" si="31"/>
        <v>1.3959941423399391</v>
      </c>
      <c r="G147" s="126">
        <f t="shared" si="31"/>
        <v>1.3816885549694549</v>
      </c>
      <c r="H147" s="126">
        <f t="shared" si="31"/>
        <v>1.367009079638972</v>
      </c>
      <c r="I147" s="126">
        <f t="shared" si="31"/>
        <v>1.3519447275407868</v>
      </c>
      <c r="J147" s="126">
        <f t="shared" si="31"/>
        <v>1.3364841496491018</v>
      </c>
      <c r="K147" s="126">
        <f t="shared" si="31"/>
        <v>1.3206156238979856</v>
      </c>
      <c r="L147" s="126">
        <f t="shared" si="31"/>
        <v>1.3043270418781856</v>
      </c>
      <c r="M147" s="126">
        <f t="shared" si="31"/>
        <v>1.2876058950341811</v>
      </c>
      <c r="N147" s="126">
        <f t="shared" si="31"/>
        <v>1.2704392603421368</v>
      </c>
      <c r="O147" s="126">
        <f t="shared" si="31"/>
        <v>1.252813785448645</v>
      </c>
      <c r="P147" s="126">
        <f t="shared" si="31"/>
        <v>1.2347156732493723</v>
      </c>
      <c r="Q147" s="126">
        <f t="shared" si="31"/>
        <v>0.83531376366073717</v>
      </c>
      <c r="R147" s="126">
        <f t="shared" si="31"/>
        <v>1.1970440281380943</v>
      </c>
      <c r="S147" s="126">
        <f t="shared" si="31"/>
        <v>1.1774405301888284</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409"/>
      <c r="F148" s="409"/>
      <c r="G148" s="409"/>
      <c r="H148" s="409"/>
      <c r="I148" s="409"/>
      <c r="J148" s="409"/>
      <c r="K148" s="409"/>
      <c r="L148" s="409"/>
      <c r="M148" s="409"/>
      <c r="N148" s="409"/>
      <c r="O148" s="409"/>
      <c r="P148" s="409"/>
      <c r="Q148" s="409"/>
      <c r="R148" s="409"/>
      <c r="S148" s="409"/>
      <c r="T148" s="409"/>
      <c r="U148" s="409"/>
      <c r="V148" s="409"/>
      <c r="W148" s="409"/>
      <c r="X148" s="409"/>
      <c r="Y148" s="409"/>
      <c r="Z148" s="409"/>
      <c r="AA148" s="409"/>
      <c r="AB148" s="409"/>
      <c r="AC148" s="409"/>
      <c r="AD148" s="409"/>
      <c r="AE148" s="409"/>
      <c r="AF148" s="409"/>
      <c r="AG148" s="409"/>
      <c r="AH148" s="409"/>
      <c r="AI148" s="409"/>
      <c r="AJ148" s="409"/>
      <c r="AK148" s="409"/>
      <c r="AL148" s="409"/>
      <c r="AM148" s="409"/>
      <c r="AN148" s="409"/>
      <c r="AO148" s="409"/>
      <c r="AP148" s="409"/>
      <c r="AQ148" s="409"/>
      <c r="AR148" s="409"/>
    </row>
    <row r="149" spans="1:44" ht="13" x14ac:dyDescent="0.25">
      <c r="A149" s="16"/>
      <c r="B149" s="134" t="s">
        <v>474</v>
      </c>
      <c r="C149" s="103" t="s">
        <v>79</v>
      </c>
      <c r="D149" s="128" t="s">
        <v>136</v>
      </c>
      <c r="E149" s="56"/>
      <c r="F149" s="56"/>
      <c r="G149" s="56"/>
      <c r="H149" s="56"/>
      <c r="I149" s="56"/>
      <c r="J149" s="56"/>
      <c r="K149" s="56"/>
      <c r="L149" s="56"/>
      <c r="M149" s="5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row>
    <row r="150" spans="1:44" x14ac:dyDescent="0.25">
      <c r="A150" s="16"/>
      <c r="B150" s="26" t="s">
        <v>475</v>
      </c>
      <c r="C150" s="153">
        <f>NPV($C$91,E142:AR142)</f>
        <v>-4054521.6959736901</v>
      </c>
      <c r="D150" s="57" t="s">
        <v>476</v>
      </c>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row>
    <row r="151" spans="1:44" x14ac:dyDescent="0.25">
      <c r="A151" s="16"/>
      <c r="B151" s="26" t="s">
        <v>477</v>
      </c>
      <c r="C151" s="153">
        <f>(1-$C$94)*NPV($C$91,E145:AR145)</f>
        <v>56359597.115282513</v>
      </c>
      <c r="D151" s="58" t="str">
        <f>$C$7</f>
        <v>kWh</v>
      </c>
      <c r="E151" s="16"/>
      <c r="F151" s="59"/>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row>
    <row r="152" spans="1:44" x14ac:dyDescent="0.25">
      <c r="A152" s="16"/>
      <c r="B152" s="26" t="s">
        <v>478</v>
      </c>
      <c r="C152" s="153">
        <f>$C$41*1000000</f>
        <v>5198700</v>
      </c>
      <c r="D152" s="57" t="s">
        <v>424</v>
      </c>
      <c r="E152" s="16"/>
      <c r="F152" s="60"/>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row>
    <row r="153" spans="1:44" x14ac:dyDescent="0.25">
      <c r="A153" s="16"/>
      <c r="B153" s="26" t="s">
        <v>479</v>
      </c>
      <c r="C153" s="154">
        <f>AVERAGE(E147:AR147)</f>
        <v>1.2748915159116836</v>
      </c>
      <c r="D153" s="57"/>
      <c r="E153" s="16"/>
      <c r="F153" s="60"/>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row>
    <row r="154" spans="1:44" x14ac:dyDescent="0.25">
      <c r="A154" s="16"/>
      <c r="B154" s="26" t="s">
        <v>480</v>
      </c>
      <c r="C154" s="155" t="str">
        <f>CONCATENATE(ROUND(((1-$C$94)*$C$90*$C$92+$C$93*$C$91)*100,1),"% / ",ROUND((((1+(1-$C$94)*$C$90*$C$92+$C$93*$C$91)/(1+$C$89))-1)*100,1),"%")</f>
        <v>4.1% / 2%</v>
      </c>
      <c r="D154" s="57"/>
      <c r="E154" s="16"/>
      <c r="F154" s="59"/>
      <c r="G154" s="61"/>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row>
    <row r="155" spans="1:44" x14ac:dyDescent="0.25">
      <c r="A155" s="16"/>
      <c r="B155" s="26" t="s">
        <v>481</v>
      </c>
      <c r="C155" s="156">
        <f>IFERROR(IRR(D143:AR143),"n.v.t.")</f>
        <v>-0.13645128711394483</v>
      </c>
      <c r="D155" s="57"/>
      <c r="E155" s="16"/>
      <c r="F155" s="60"/>
      <c r="G155" s="61"/>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row>
    <row r="156" spans="1:44" x14ac:dyDescent="0.25">
      <c r="A156" s="16"/>
      <c r="B156" s="26" t="s">
        <v>482</v>
      </c>
      <c r="C156" s="156" t="str">
        <f>IFERROR(IRR(D144:AR144),"n.v.t.")</f>
        <v>n.v.t.</v>
      </c>
      <c r="D156" s="57"/>
      <c r="E156" s="16"/>
      <c r="F156" s="16"/>
      <c r="G156" s="61"/>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row>
    <row r="157" spans="1:44" x14ac:dyDescent="0.25">
      <c r="A157" s="16"/>
      <c r="B157" s="38" t="s">
        <v>483</v>
      </c>
      <c r="C157" s="153">
        <f>$C$92*C152-C97</f>
        <v>3899025</v>
      </c>
      <c r="D157" s="57" t="s">
        <v>424</v>
      </c>
      <c r="E157" s="16"/>
      <c r="F157" s="35"/>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row>
    <row r="158" spans="1:44" x14ac:dyDescent="0.25">
      <c r="A158" s="16"/>
      <c r="B158" s="38" t="s">
        <v>484</v>
      </c>
      <c r="C158" s="153">
        <f>$C$93*C152-C98</f>
        <v>1299675</v>
      </c>
      <c r="D158" s="57" t="s">
        <v>424</v>
      </c>
      <c r="E158" s="16"/>
      <c r="F158" s="35"/>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row>
    <row r="159" spans="1:44" x14ac:dyDescent="0.25">
      <c r="A159" s="16"/>
      <c r="B159" s="38" t="s">
        <v>223</v>
      </c>
      <c r="C159" s="157">
        <f>IF(AND(E115&gt;0,E116&gt;0),ROUND(E116/E115,2),0)</f>
        <v>0</v>
      </c>
      <c r="D159" s="62" t="s">
        <v>485</v>
      </c>
      <c r="E159" s="16"/>
      <c r="F159" s="35"/>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row>
    <row r="160" spans="1:44" x14ac:dyDescent="0.25">
      <c r="A160" s="16"/>
      <c r="B160" s="38" t="s">
        <v>486</v>
      </c>
      <c r="C160" s="158">
        <f>IF(C159=0,MAX(C29:C30),E118/SUM(C26,C28))</f>
        <v>740</v>
      </c>
      <c r="D160" s="57" t="s">
        <v>340</v>
      </c>
      <c r="E160" s="16"/>
      <c r="F160" s="35"/>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row>
    <row r="161" spans="2:44" x14ac:dyDescent="0.25">
      <c r="B161" s="43" t="s">
        <v>487</v>
      </c>
      <c r="C161" s="461" t="str">
        <f>CONCATENATE( "tussen ", INDEX(D112:X112, MATCH(0,D146:X146, -1)), " en ",  1 + INDEX(D112:X112, MATCH(0,D146:X146, -1)), " jaar")</f>
        <v>tussen 14 en 15 jaar</v>
      </c>
      <c r="D161" s="462"/>
      <c r="E161" s="16"/>
      <c r="F161" s="63"/>
      <c r="G161" s="51"/>
      <c r="H161" s="16"/>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333" t="s">
        <v>46</v>
      </c>
      <c r="C164" s="419" t="str">
        <f>IF($C12="","","")</f>
        <v/>
      </c>
      <c r="D164" s="334" t="str">
        <f t="shared" ref="D164:D174" si="32">CONCATENATE("Euro/",$C$7)</f>
        <v>Euro/kWh</v>
      </c>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row>
    <row r="165" spans="2:44" ht="14.65" customHeight="1" x14ac:dyDescent="0.25">
      <c r="B165" s="65" t="s">
        <v>489</v>
      </c>
      <c r="C165" s="345" t="str">
        <f>IF(C15&gt;0,C166&amp;" / "&amp;C167,ROUND(VLOOKUP($C12,Correcties!$A$4:$H$10,8),3))</f>
        <v>0.035 / 0.074</v>
      </c>
      <c r="D165" s="57" t="str">
        <f t="shared" si="32"/>
        <v>Euro/kWh</v>
      </c>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row>
    <row r="166" spans="2:44" x14ac:dyDescent="0.25">
      <c r="B166" s="26" t="s">
        <v>490</v>
      </c>
      <c r="C166" s="140">
        <f>IFERROR(ROUND(INDEX(Correcties!$A$1:$I$10,MATCH(C15,Correcties!$A$1:$A$10,0),8),decimalen),"n.v.t.")</f>
        <v>3.5000000000000003E-2</v>
      </c>
      <c r="D166" s="57" t="str">
        <f t="shared" si="32"/>
        <v>Euro/kWh</v>
      </c>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row>
    <row r="167" spans="2:44" s="356" customFormat="1" x14ac:dyDescent="0.25">
      <c r="B167" s="27" t="s">
        <v>33</v>
      </c>
      <c r="C167" s="343">
        <f>IFERROR(ROUND(INDEX(Correcties!$A$1:$I$11,MATCH(C16,Correcties!$A$1:$A$11,0),8),decimalen),"n.v.t.")</f>
        <v>7.3999999999999996E-2</v>
      </c>
      <c r="D167" s="66" t="str">
        <f t="shared" si="32"/>
        <v>Euro/kWh</v>
      </c>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row>
    <row r="168" spans="2:44" s="356" customFormat="1" x14ac:dyDescent="0.25">
      <c r="B168" s="93" t="s">
        <v>491</v>
      </c>
      <c r="C168" s="342" t="str">
        <f>IF(C16&gt;0,"netlevering: "&amp;ROUND(VLOOKUP($C$15,Correcties!$A$4:$M$11,6,FALSE),decimalen)&amp;", niet-netlevering: "&amp;ROUND(VLOOKUP($C$16,Correcties!$A$4:$M$11,6,FALSE),decimalen))</f>
        <v>netlevering: 0.052, niet-netlevering: 0.091</v>
      </c>
      <c r="D168" s="94" t="str">
        <f t="shared" si="32"/>
        <v>Euro/kWh</v>
      </c>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row>
    <row r="169" spans="2:44" s="356" customFormat="1" x14ac:dyDescent="0.25">
      <c r="B169" s="26" t="str">
        <f>"Voorlopig correctiebedrag "&amp;Colofon!$C$29</f>
        <v>Voorlopig correctiebedrag 2025</v>
      </c>
      <c r="C169" s="140" t="str">
        <f>IF(C16&gt;0,"netlevering: "&amp;ROUND(VLOOKUP($C$15,Correcties!$A$4:$M$11,4,FALSE),decimalen)&amp;", niet-netlevering: "&amp;ROUND(VLOOKUP($C$16,Correcties!$A$4:$M$11,4),decimalen))</f>
        <v>netlevering: 0.053, niet-netlevering: 0.093</v>
      </c>
      <c r="D169" s="57" t="str">
        <f t="shared" si="32"/>
        <v>Euro/kWh</v>
      </c>
      <c r="E169" s="10"/>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356" customFormat="1" x14ac:dyDescent="0.25">
      <c r="B170" s="95" t="str">
        <f>"Voorlopige GvO-waarde "&amp;Colofon!$C$29</f>
        <v>Voorlopige GvO-waarde 2025</v>
      </c>
      <c r="C170" s="342" t="str">
        <f>IF(C16&gt;0,"netlevering: "&amp;ROUND(VLOOKUP($C$15,Correcties!$A$4:$M$11,12,FALSE),decimalen)&amp;", niet-netlevering: "&amp;ROUND(VLOOKUP($C$16,Correcties!$A$4:$M$11,12,FALSE),decimalen))</f>
        <v>netlevering: 0.004, niet-netlevering: 0</v>
      </c>
      <c r="D170" s="94" t="str">
        <f t="shared" si="32"/>
        <v>Euro/kWh</v>
      </c>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row>
    <row r="171" spans="2:44" s="356" customFormat="1" x14ac:dyDescent="0.25">
      <c r="B171" s="65" t="s">
        <v>49</v>
      </c>
      <c r="C171" s="344">
        <f>IF(NOT(OR($C$13=6,$C$13=7,$C$13=9)),_xlfn.XLOOKUP($C$13,Correcties!A27:A37,Correcties!D27:D37,"foutmelding"),($C$22-1)/$C$22*Correcties!D69*IF($C$13=7,1,Correcties!D70)*IF($C$13=9,Correcties!D71,1))*IF(C159=0,1,C159/(1+C159))</f>
        <v>0</v>
      </c>
      <c r="D171" s="57" t="str">
        <f t="shared" si="32"/>
        <v>Euro/kWh</v>
      </c>
      <c r="E171" s="10"/>
      <c r="F171" s="410"/>
      <c r="G171" s="410"/>
      <c r="H171" s="410"/>
      <c r="I171" s="410"/>
      <c r="J171" s="410"/>
      <c r="K171" s="410"/>
      <c r="L171" s="410"/>
      <c r="M171" s="410"/>
      <c r="N171" s="410"/>
      <c r="O171" s="410"/>
      <c r="P171" s="4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row>
    <row r="172" spans="2:44" s="356"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E172" s="10"/>
      <c r="F172" s="410"/>
      <c r="G172" s="410"/>
      <c r="H172" s="410"/>
      <c r="I172" s="410"/>
      <c r="J172" s="410"/>
      <c r="K172" s="410"/>
      <c r="L172" s="410"/>
      <c r="M172" s="410"/>
      <c r="N172" s="410"/>
      <c r="O172" s="410"/>
      <c r="P172" s="4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row>
    <row r="173" spans="2:44" s="356" customFormat="1" ht="13.5" customHeight="1" x14ac:dyDescent="0.25">
      <c r="B173" s="68" t="s">
        <v>493</v>
      </c>
      <c r="C173" s="343">
        <f>IFERROR(ROUND(INDEX(Correcties!$A$1:$K$10,MATCH(C15,Correcties!$A$1:$A$10,0),6),decimalen),"n.v.t.")</f>
        <v>5.1999999999999998E-2</v>
      </c>
      <c r="D173" s="66" t="str">
        <f t="shared" si="32"/>
        <v>Euro/kWh</v>
      </c>
      <c r="E173" s="10"/>
      <c r="F173" s="410"/>
      <c r="G173" s="410"/>
      <c r="H173" s="410"/>
      <c r="I173" s="410"/>
      <c r="J173" s="410"/>
      <c r="K173" s="410"/>
      <c r="L173" s="410"/>
      <c r="M173" s="410"/>
      <c r="N173" s="410"/>
      <c r="O173" s="410"/>
      <c r="P173" s="4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row>
    <row r="174" spans="2:44" s="356" customFormat="1" ht="13.5" customHeight="1" x14ac:dyDescent="0.25">
      <c r="B174" s="68" t="s">
        <v>494</v>
      </c>
      <c r="C174" s="343">
        <f>IFERROR(ROUND(INDEX(Correcties!$A$1:$K$11,MATCH(C16,Correcties!$A$1:$A$11,0),6),decimalen),"n.v.t.")</f>
        <v>9.0999999999999998E-2</v>
      </c>
      <c r="D174" s="66" t="str">
        <f t="shared" si="32"/>
        <v>Euro/kWh</v>
      </c>
      <c r="E174" s="10"/>
      <c r="F174" s="410"/>
      <c r="G174" s="410"/>
      <c r="H174" s="410"/>
      <c r="I174" s="410"/>
      <c r="J174" s="410"/>
      <c r="K174" s="410"/>
      <c r="L174" s="410"/>
      <c r="M174" s="410"/>
      <c r="N174" s="410"/>
      <c r="O174" s="410"/>
      <c r="P174" s="4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row>
    <row r="175" spans="2:44" s="356" customFormat="1" x14ac:dyDescent="0.25">
      <c r="B175" s="65" t="str">
        <f>"Voorlopig correctiebedrag "&amp;Colofon!$B$21&amp;""</f>
        <v xml:space="preserve">Voorlopig correctiebedrag </v>
      </c>
      <c r="C175" s="159" t="str">
        <f>IF(C15&gt;0,"netlevering: "&amp;C176&amp;", niet-netlevering: "&amp;C177,ROUND(VLOOKUP($C21,Correcties!$A$4:$J$74,6),decimalen))</f>
        <v>netlevering: 0.057, niet-netlevering: 0.093</v>
      </c>
      <c r="D175" s="57" t="s">
        <v>406</v>
      </c>
      <c r="E175" s="10"/>
      <c r="F175" s="410"/>
      <c r="G175" s="410"/>
      <c r="H175" s="410"/>
      <c r="I175" s="410"/>
      <c r="J175" s="410"/>
      <c r="K175" s="410"/>
      <c r="L175" s="410"/>
      <c r="M175" s="410"/>
      <c r="N175" s="410"/>
      <c r="O175" s="410"/>
      <c r="P175" s="4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row>
    <row r="176" spans="2:44" s="356" customFormat="1" x14ac:dyDescent="0.25">
      <c r="B176" s="65" t="str">
        <f>"Voorlopig correctiebedrag "&amp;Colofon!$B$21&amp;" netlevering "</f>
        <v xml:space="preserve">Voorlopig correctiebedrag  netlevering </v>
      </c>
      <c r="C176" s="344">
        <f>ROUND(VLOOKUP(C15,Correcties!$A$4:$K$11,10,FALSE),decimalen)</f>
        <v>5.7000000000000002E-2</v>
      </c>
      <c r="D176" s="57" t="s">
        <v>406</v>
      </c>
      <c r="E176" s="10"/>
      <c r="F176" s="410"/>
      <c r="G176" s="410"/>
      <c r="H176" s="410"/>
      <c r="I176" s="410"/>
      <c r="J176" s="410"/>
      <c r="K176" s="410"/>
      <c r="L176" s="410"/>
      <c r="M176" s="410"/>
      <c r="N176" s="410"/>
      <c r="O176" s="410"/>
      <c r="P176" s="4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row>
    <row r="177" spans="2:16" s="356" customFormat="1" x14ac:dyDescent="0.25">
      <c r="B177" s="68" t="str">
        <f>"Voorlopig correctiebedrag "&amp;Colofon!$B$21&amp;" niet-netlevering "</f>
        <v xml:space="preserve">Voorlopig correctiebedrag  niet-netlevering </v>
      </c>
      <c r="C177" s="344">
        <f>ROUND(VLOOKUP(C16,Correcties!$A$4:$K$11,10,FALSE),decimalen)</f>
        <v>9.2999999999999999E-2</v>
      </c>
      <c r="D177" s="57" t="s">
        <v>406</v>
      </c>
      <c r="E177" s="10"/>
      <c r="F177" s="410"/>
      <c r="G177" s="410"/>
      <c r="H177" s="410"/>
      <c r="I177" s="410"/>
      <c r="J177" s="410"/>
      <c r="K177" s="410"/>
      <c r="L177" s="410"/>
      <c r="M177" s="410"/>
      <c r="N177" s="410"/>
      <c r="O177" s="410"/>
      <c r="P177" s="410"/>
    </row>
    <row r="178" spans="2:16" s="10" customFormat="1" x14ac:dyDescent="0.25">
      <c r="B178" s="95" t="str">
        <f>"Voorlopige GvO-waarde "&amp;Colofon!$C$29</f>
        <v>Voorlopige GvO-waarde 2025</v>
      </c>
      <c r="C178" s="342">
        <f>ROUND(VLOOKUP($C$15,Correcties!$A$4:$M$11,12,FALSE),decimalen)</f>
        <v>4.0000000000000001E-3</v>
      </c>
      <c r="D178" s="94" t="str">
        <f t="shared" ref="D178" si="33">CONCATENATE("Euro/",$C$7)</f>
        <v>Euro/kWh</v>
      </c>
      <c r="E178" s="67"/>
      <c r="F178" s="67"/>
      <c r="G178" s="67"/>
      <c r="H178" s="67"/>
      <c r="I178" s="67"/>
      <c r="J178" s="67"/>
      <c r="K178" s="67"/>
      <c r="L178" s="67"/>
      <c r="M178" s="67"/>
      <c r="N178" s="67"/>
      <c r="O178" s="67"/>
      <c r="P178" s="67"/>
    </row>
    <row r="179" spans="2:16" s="356" customFormat="1" x14ac:dyDescent="0.25">
      <c r="B179" s="10"/>
      <c r="C179" s="10"/>
      <c r="D179" s="10"/>
      <c r="E179" s="410"/>
      <c r="F179" s="410"/>
      <c r="G179" s="410"/>
      <c r="H179" s="410"/>
      <c r="I179" s="410"/>
      <c r="J179" s="410"/>
      <c r="K179" s="410"/>
      <c r="L179" s="410"/>
      <c r="M179" s="410"/>
      <c r="N179" s="410"/>
      <c r="O179" s="410"/>
      <c r="P179" s="410"/>
    </row>
    <row r="180" spans="2:16" s="356" customFormat="1" x14ac:dyDescent="0.25">
      <c r="B180" s="102" t="s">
        <v>495</v>
      </c>
      <c r="C180" s="103" t="s">
        <v>79</v>
      </c>
      <c r="D180" s="128" t="s">
        <v>136</v>
      </c>
      <c r="E180" s="10"/>
      <c r="F180" s="10"/>
      <c r="G180" s="10"/>
      <c r="H180" s="10"/>
      <c r="I180" s="10"/>
      <c r="J180" s="10"/>
      <c r="K180" s="10"/>
      <c r="L180" s="10"/>
      <c r="M180" s="10"/>
      <c r="N180" s="10"/>
      <c r="O180" s="10"/>
      <c r="P180" s="10"/>
    </row>
    <row r="181" spans="2:16" s="356" customFormat="1" x14ac:dyDescent="0.25">
      <c r="B181" s="26" t="s">
        <v>496</v>
      </c>
      <c r="C181" s="69">
        <v>35.799999999999997</v>
      </c>
      <c r="D181" s="57" t="s">
        <v>497</v>
      </c>
      <c r="E181" s="10"/>
      <c r="F181" s="10"/>
      <c r="G181" s="10"/>
      <c r="H181" s="10"/>
      <c r="I181" s="10"/>
      <c r="J181" s="10"/>
      <c r="K181" s="10"/>
      <c r="L181" s="10"/>
      <c r="M181" s="10"/>
      <c r="N181" s="10"/>
      <c r="O181" s="10"/>
      <c r="P181" s="10"/>
    </row>
    <row r="182" spans="2:16" s="356" customFormat="1" x14ac:dyDescent="0.25">
      <c r="B182" s="26" t="s">
        <v>498</v>
      </c>
      <c r="C182" s="69">
        <v>31.65</v>
      </c>
      <c r="D182" s="57" t="s">
        <v>497</v>
      </c>
      <c r="E182" s="10"/>
      <c r="F182" s="10"/>
      <c r="G182" s="10"/>
      <c r="H182" s="10"/>
      <c r="I182" s="10"/>
      <c r="J182" s="10"/>
      <c r="K182" s="10"/>
      <c r="L182" s="10"/>
      <c r="M182" s="10"/>
      <c r="N182" s="10"/>
      <c r="O182" s="10"/>
      <c r="P182" s="10"/>
    </row>
    <row r="183" spans="2:16" s="356" customFormat="1" x14ac:dyDescent="0.25">
      <c r="B183" s="26" t="s">
        <v>499</v>
      </c>
      <c r="C183" s="69">
        <v>35.17</v>
      </c>
      <c r="D183" s="57" t="s">
        <v>497</v>
      </c>
      <c r="E183" s="10"/>
      <c r="F183" s="10"/>
      <c r="G183" s="10"/>
      <c r="H183" s="10"/>
      <c r="I183" s="10"/>
      <c r="J183" s="10"/>
      <c r="K183" s="10"/>
      <c r="L183" s="10"/>
      <c r="M183" s="10"/>
      <c r="N183" s="10"/>
      <c r="O183" s="10"/>
      <c r="P183" s="10"/>
    </row>
    <row r="184" spans="2:16" s="356" customFormat="1" x14ac:dyDescent="0.25">
      <c r="B184" s="27" t="s">
        <v>500</v>
      </c>
      <c r="C184" s="70">
        <v>3.6</v>
      </c>
      <c r="D184" s="66" t="s">
        <v>501</v>
      </c>
      <c r="E184" s="10"/>
      <c r="F184" s="10"/>
      <c r="G184" s="10"/>
      <c r="H184" s="10"/>
      <c r="I184" s="10"/>
      <c r="J184" s="10"/>
      <c r="K184" s="10"/>
      <c r="L184" s="10"/>
      <c r="M184" s="10"/>
      <c r="N184" s="10"/>
      <c r="O184" s="10"/>
      <c r="P184" s="10"/>
    </row>
    <row r="185" spans="2:16" s="356" customFormat="1" x14ac:dyDescent="0.25">
      <c r="B185" s="10"/>
      <c r="C185" s="10"/>
      <c r="D185" s="10"/>
      <c r="E185" s="10"/>
      <c r="F185" s="10"/>
      <c r="G185" s="10"/>
      <c r="H185" s="10"/>
      <c r="I185" s="10"/>
      <c r="J185" s="10"/>
      <c r="K185" s="10"/>
      <c r="L185" s="10"/>
      <c r="M185" s="10"/>
      <c r="N185" s="10"/>
      <c r="O185" s="10"/>
      <c r="P185" s="10"/>
    </row>
    <row r="186" spans="2:16" s="356" customFormat="1" x14ac:dyDescent="0.25">
      <c r="B186" s="10"/>
      <c r="C186" s="10"/>
      <c r="D186" s="10"/>
      <c r="E186" s="10"/>
      <c r="F186" s="10"/>
      <c r="G186" s="10"/>
      <c r="H186" s="10"/>
      <c r="I186" s="10"/>
      <c r="J186" s="10"/>
      <c r="K186" s="10"/>
      <c r="L186" s="10"/>
      <c r="M186" s="10"/>
      <c r="N186" s="10"/>
      <c r="O186" s="10"/>
      <c r="P186" s="10"/>
    </row>
    <row r="187" spans="2:16" x14ac:dyDescent="0.25">
      <c r="B187" s="16"/>
      <c r="C187" s="29"/>
      <c r="D187" s="29"/>
      <c r="E187" s="10"/>
      <c r="F187" s="10"/>
      <c r="G187" s="16"/>
      <c r="H187" s="10"/>
      <c r="I187" s="16"/>
      <c r="J187" s="16"/>
      <c r="K187" s="16"/>
      <c r="L187" s="16"/>
      <c r="M187" s="16"/>
      <c r="N187" s="16"/>
      <c r="O187" s="16"/>
      <c r="P187" s="16"/>
    </row>
    <row r="188" spans="2:16" x14ac:dyDescent="0.25">
      <c r="B188" s="16"/>
      <c r="C188" s="29"/>
      <c r="D188" s="29"/>
      <c r="E188" s="10"/>
      <c r="F188" s="10"/>
      <c r="G188" s="16"/>
      <c r="H188" s="10"/>
      <c r="I188" s="16"/>
      <c r="J188" s="16"/>
      <c r="K188" s="16"/>
      <c r="L188" s="16"/>
      <c r="M188" s="16"/>
      <c r="N188" s="16"/>
      <c r="O188" s="16"/>
      <c r="P188" s="16"/>
    </row>
    <row r="189" spans="2:16" x14ac:dyDescent="0.25">
      <c r="B189" s="16"/>
      <c r="C189" s="29"/>
      <c r="D189" s="29"/>
      <c r="E189" s="10"/>
      <c r="F189" s="10"/>
      <c r="G189" s="16"/>
      <c r="H189" s="10"/>
      <c r="I189" s="16"/>
      <c r="J189" s="16"/>
      <c r="K189" s="16"/>
      <c r="L189" s="16"/>
      <c r="M189" s="16"/>
      <c r="N189" s="16"/>
      <c r="O189" s="16"/>
      <c r="P189" s="16"/>
    </row>
    <row r="190" spans="2:16" x14ac:dyDescent="0.25">
      <c r="B190" s="16"/>
      <c r="C190" s="29"/>
      <c r="D190" s="29"/>
      <c r="E190" s="16"/>
      <c r="F190" s="16"/>
      <c r="G190" s="16"/>
      <c r="H190" s="10"/>
      <c r="I190" s="16"/>
      <c r="J190" s="16"/>
      <c r="K190" s="16"/>
      <c r="L190" s="16"/>
      <c r="M190" s="16"/>
      <c r="N190" s="16"/>
      <c r="O190" s="16"/>
      <c r="P190" s="16"/>
    </row>
    <row r="191" spans="2:16" x14ac:dyDescent="0.25">
      <c r="B191" s="16"/>
      <c r="C191" s="29"/>
      <c r="D191" s="29"/>
      <c r="E191" s="16"/>
      <c r="F191" s="16"/>
      <c r="G191" s="16"/>
      <c r="H191" s="10"/>
      <c r="I191" s="16"/>
      <c r="J191" s="16"/>
      <c r="K191" s="16"/>
      <c r="L191" s="16"/>
      <c r="M191" s="16"/>
      <c r="N191" s="16"/>
      <c r="O191" s="16"/>
      <c r="P191" s="16"/>
    </row>
    <row r="192" spans="2:16" x14ac:dyDescent="0.25">
      <c r="B192" s="16"/>
      <c r="C192" s="29"/>
      <c r="D192" s="29"/>
      <c r="E192" s="16"/>
      <c r="F192" s="16"/>
      <c r="G192" s="16"/>
      <c r="H192" s="10"/>
      <c r="I192" s="16"/>
      <c r="J192" s="16"/>
      <c r="K192" s="16"/>
      <c r="L192" s="16"/>
      <c r="M192" s="16"/>
      <c r="N192" s="16"/>
      <c r="O192" s="16"/>
      <c r="P192" s="16"/>
    </row>
    <row r="193" spans="2:16" x14ac:dyDescent="0.25">
      <c r="B193" s="16"/>
      <c r="C193" s="29"/>
      <c r="D193" s="29"/>
      <c r="E193" s="16"/>
      <c r="F193" s="16"/>
      <c r="G193" s="16"/>
      <c r="H193" s="10"/>
      <c r="I193" s="16"/>
      <c r="J193" s="16"/>
      <c r="K193" s="16"/>
      <c r="L193" s="16"/>
      <c r="M193" s="16"/>
      <c r="N193" s="16"/>
      <c r="O193" s="16"/>
      <c r="P193" s="16"/>
    </row>
    <row r="194" spans="2:16" x14ac:dyDescent="0.25">
      <c r="B194" s="16"/>
      <c r="C194" s="29"/>
      <c r="D194" s="29"/>
      <c r="E194" s="16"/>
      <c r="F194" s="16"/>
      <c r="G194" s="16"/>
      <c r="H194" s="10"/>
      <c r="I194" s="16"/>
      <c r="J194" s="16"/>
      <c r="K194" s="16"/>
      <c r="L194" s="16"/>
      <c r="M194" s="16"/>
      <c r="N194" s="16"/>
      <c r="O194" s="16"/>
      <c r="P194" s="16"/>
    </row>
    <row r="195" spans="2:16" x14ac:dyDescent="0.25">
      <c r="B195" s="16"/>
      <c r="C195" s="29"/>
      <c r="D195" s="29"/>
      <c r="E195" s="16"/>
      <c r="F195" s="16"/>
      <c r="G195" s="16"/>
      <c r="H195" s="10"/>
      <c r="I195" s="16"/>
      <c r="J195" s="16"/>
      <c r="K195" s="16"/>
      <c r="L195" s="16"/>
      <c r="M195" s="16"/>
      <c r="N195" s="16"/>
      <c r="O195" s="16"/>
      <c r="P195" s="16"/>
    </row>
    <row r="196" spans="2:16" x14ac:dyDescent="0.25">
      <c r="B196" s="16"/>
      <c r="C196" s="29"/>
      <c r="D196" s="29"/>
      <c r="E196" s="16"/>
      <c r="F196" s="16"/>
      <c r="G196" s="16"/>
      <c r="H196" s="10"/>
      <c r="I196" s="16"/>
      <c r="J196" s="16"/>
      <c r="K196" s="16"/>
      <c r="L196" s="16"/>
      <c r="M196" s="16"/>
      <c r="N196" s="16"/>
      <c r="O196" s="16"/>
      <c r="P196" s="16"/>
    </row>
    <row r="197" spans="2:16" x14ac:dyDescent="0.25">
      <c r="B197" s="16"/>
      <c r="C197" s="29"/>
      <c r="D197" s="29"/>
      <c r="E197" s="16"/>
      <c r="F197" s="16"/>
      <c r="G197" s="16"/>
      <c r="H197" s="10"/>
      <c r="I197" s="16"/>
      <c r="J197" s="16"/>
      <c r="K197" s="16"/>
      <c r="L197" s="16"/>
      <c r="M197" s="16"/>
      <c r="N197" s="16"/>
      <c r="O197" s="16"/>
      <c r="P197" s="16"/>
    </row>
    <row r="198" spans="2:16" x14ac:dyDescent="0.25">
      <c r="B198" s="16"/>
      <c r="C198" s="29"/>
      <c r="D198" s="29"/>
      <c r="E198" s="16"/>
      <c r="F198" s="16"/>
      <c r="G198" s="16"/>
      <c r="H198" s="10"/>
      <c r="I198" s="16"/>
      <c r="J198" s="16"/>
      <c r="K198" s="16"/>
      <c r="L198" s="16"/>
      <c r="M198" s="16"/>
      <c r="N198" s="16"/>
      <c r="O198" s="16"/>
      <c r="P198" s="16"/>
    </row>
    <row r="199" spans="2:16" x14ac:dyDescent="0.25">
      <c r="B199" s="16"/>
      <c r="C199" s="29"/>
      <c r="D199" s="29"/>
      <c r="E199" s="16"/>
      <c r="F199" s="16"/>
      <c r="G199" s="16"/>
      <c r="H199" s="10"/>
      <c r="I199" s="16"/>
      <c r="J199" s="16"/>
      <c r="K199" s="16"/>
      <c r="L199" s="16"/>
      <c r="M199" s="16"/>
      <c r="N199" s="16"/>
      <c r="O199" s="16"/>
      <c r="P199" s="16"/>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9 G110:G114 G149:G160 G164:G168 G170">
    <cfRule type="containsText" dxfId="44" priority="5" operator="containsText" text="Pas op">
      <formula>NOT(ISERROR(SEARCH("Pas op",G19)))</formula>
    </cfRule>
  </conditionalFormatting>
  <conditionalFormatting sqref="G105">
    <cfRule type="containsText" dxfId="43" priority="3" operator="containsText" text="Pas op">
      <formula>NOT(ISERROR(SEARCH("Pas op",G105)))</formula>
    </cfRule>
  </conditionalFormatting>
  <conditionalFormatting sqref="G185:G1048576">
    <cfRule type="containsText" dxfId="42" priority="4" operator="containsText" text="Pas op">
      <formula>NOT(ISERROR(SEARCH("Pas op",G185)))</formula>
    </cfRule>
  </conditionalFormatting>
  <dataValidations count="3">
    <dataValidation type="list" allowBlank="1" showInputMessage="1" showErrorMessage="1" sqref="C37362 C102898 C168434 C233970 C299506 C365042 C430578 C496114 C561650 C627186 C692722 C758258 C823794 C889330 C954866" xr:uid="{0256DB4A-3DF4-4649-A4C3-FD6D453F8CCB}">
      <formula1>"ja,nee"</formula1>
    </dataValidation>
    <dataValidation type="list" allowBlank="1" showInputMessage="1" showErrorMessage="1" sqref="C7" xr:uid="{8B6EB044-D99A-4976-AF1B-789640A3D2A5}">
      <formula1>"t CO2,kWh"</formula1>
    </dataValidation>
    <dataValidation type="list" allowBlank="1" showInputMessage="1" showErrorMessage="1" sqref="C14" xr:uid="{5BB2E977-925A-465E-B312-E2303A5C152A}">
      <formula1>"Nee,Ja,Geen warmte"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5AF2A58-CD40-4796-AB66-1F153213FB7F}">
          <x14:formula1>
            <xm:f>Correcties!$A$4:$A$10</xm:f>
          </x14:formula1>
          <xm:sqref>C12</xm:sqref>
        </x14:dataValidation>
        <x14:dataValidation type="list" allowBlank="1" showInputMessage="1" showErrorMessage="1" xr:uid="{7F70A1E2-8B8D-498A-A67C-DDA094BD9185}">
          <x14:formula1>
            <xm:f>Colofon!$B$34:$B$39</xm:f>
          </x14:formula1>
          <xm:sqref>C9</xm:sqref>
        </x14:dataValidation>
        <x14:dataValidation type="list" allowBlank="1" showInputMessage="1" showErrorMessage="1" xr:uid="{B6FEAF2F-379B-40DB-855C-28D44D423A97}">
          <x14:formula1>
            <xm:f>Correcties!$A$27:$A$38</xm:f>
          </x14:formula1>
          <xm:sqref>C13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81EC2-3533-40C3-854A-DD60A06886D5}">
  <sheetPr codeName="Sheet97">
    <tabColor theme="5" tint="0.79998168889431442"/>
    <pageSetUpPr fitToPage="1"/>
  </sheetPr>
  <dimension ref="A1:AR198"/>
  <sheetViews>
    <sheetView showGridLines="0" topLeftCell="A164" zoomScaleNormal="100" workbookViewId="0">
      <selection activeCell="A2" sqref="A2"/>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510</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0.1721</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1130.832570905764</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
        <v>308</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88</v>
      </c>
      <c r="D12" s="105" t="str">
        <f>_xlfn.XLOOKUP(C12,Correcties!A4:A11,Correcties!B4:B11,"")</f>
        <v>Elektriciteit-WOL (negatieve uren meegenomen)</v>
      </c>
      <c r="E12" s="449" t="str">
        <f>IFERROR(INDEX(Correcties!$A$1:$I$301,MATCH('8'!C12,Correcties!$A$1:$A$301,0),5),"")</f>
        <v>EPEX1 x PIF_WOL1</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15</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15</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2140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2900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4.3804499999999989E-2</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19.7</v>
      </c>
      <c r="D43" s="99" t="str">
        <f>CONCATENATE("Euro/",$C$8,"/jaar")</f>
        <v>Euro/kW/jaar</v>
      </c>
      <c r="E43" s="447" t="s">
        <v>357</v>
      </c>
      <c r="F43" s="447"/>
      <c r="G43" s="447"/>
      <c r="H43" s="447"/>
      <c r="I43" s="447"/>
      <c r="J43" s="447"/>
      <c r="K43" s="447"/>
      <c r="L43" s="447"/>
      <c r="M43" s="448"/>
    </row>
    <row r="44" spans="2:13" x14ac:dyDescent="0.25">
      <c r="B44" s="96" t="s">
        <v>359</v>
      </c>
      <c r="C44" s="348">
        <f>(C42*C21+C43*SUM(C26,C28))/1000</f>
        <v>0.29549999999999998</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2.3E-2</v>
      </c>
      <c r="D48" s="99" t="str">
        <f>CONCATENATE("Euro/",$C$7)</f>
        <v>Euro/kWh</v>
      </c>
      <c r="E48" s="447"/>
      <c r="F48" s="447"/>
      <c r="G48" s="447"/>
      <c r="H48" s="447"/>
      <c r="I48" s="447"/>
      <c r="J48" s="447"/>
      <c r="K48" s="447"/>
      <c r="L48" s="447"/>
      <c r="M48" s="448"/>
    </row>
    <row r="49" spans="2:13" x14ac:dyDescent="0.25">
      <c r="B49" s="97" t="s">
        <v>366</v>
      </c>
      <c r="C49" s="142">
        <f>SUM(C45:C48)</f>
        <v>2.3E-2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v>2140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481500</v>
      </c>
      <c r="D84" s="98" t="str">
        <f>C7</f>
        <v>kWh</v>
      </c>
      <c r="E84" s="447"/>
      <c r="F84" s="447"/>
      <c r="G84" s="447"/>
      <c r="H84" s="447"/>
      <c r="I84" s="447"/>
      <c r="J84" s="447"/>
      <c r="K84" s="447"/>
      <c r="L84" s="447"/>
      <c r="M84" s="448"/>
    </row>
    <row r="85" spans="2:13" x14ac:dyDescent="0.25">
      <c r="B85" s="113" t="s">
        <v>413</v>
      </c>
      <c r="C85" s="145">
        <f>IF(C77=0,SUM(E118:INDEX(E118:AR118,1,C73)),SUM(E118:INDEX(E118:AR118,1,C77)))</f>
        <v>642000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0.05</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v>-35000</v>
      </c>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-43804.499999999993</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32100</v>
      </c>
      <c r="F115" s="379">
        <f t="shared" si="4"/>
        <v>32100</v>
      </c>
      <c r="G115" s="379">
        <f t="shared" si="4"/>
        <v>32100</v>
      </c>
      <c r="H115" s="379">
        <f t="shared" si="4"/>
        <v>32100</v>
      </c>
      <c r="I115" s="379">
        <f t="shared" si="4"/>
        <v>32100</v>
      </c>
      <c r="J115" s="379">
        <f t="shared" si="4"/>
        <v>32100</v>
      </c>
      <c r="K115" s="379">
        <f t="shared" si="4"/>
        <v>32100</v>
      </c>
      <c r="L115" s="379">
        <f t="shared" si="4"/>
        <v>32100</v>
      </c>
      <c r="M115" s="379">
        <f t="shared" si="4"/>
        <v>32100</v>
      </c>
      <c r="N115" s="379">
        <f t="shared" si="4"/>
        <v>32100</v>
      </c>
      <c r="O115" s="379">
        <f t="shared" si="4"/>
        <v>32100</v>
      </c>
      <c r="P115" s="379">
        <f t="shared" si="4"/>
        <v>32100</v>
      </c>
      <c r="Q115" s="379">
        <f t="shared" si="4"/>
        <v>32100</v>
      </c>
      <c r="R115" s="379">
        <f t="shared" si="4"/>
        <v>32100</v>
      </c>
      <c r="S115" s="379">
        <f t="shared" si="4"/>
        <v>32100</v>
      </c>
      <c r="T115" s="379">
        <f t="shared" si="4"/>
        <v>32100</v>
      </c>
      <c r="U115" s="379">
        <f t="shared" si="4"/>
        <v>32100</v>
      </c>
      <c r="V115" s="379">
        <f t="shared" si="4"/>
        <v>32100</v>
      </c>
      <c r="W115" s="379">
        <f t="shared" si="4"/>
        <v>32100</v>
      </c>
      <c r="X115" s="379">
        <f t="shared" si="4"/>
        <v>32100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32100</v>
      </c>
      <c r="F118" s="150">
        <f t="shared" ref="F118:AR118" si="7">SUM(F115:F117)</f>
        <v>32100</v>
      </c>
      <c r="G118" s="150">
        <f t="shared" si="7"/>
        <v>32100</v>
      </c>
      <c r="H118" s="150">
        <f t="shared" si="7"/>
        <v>32100</v>
      </c>
      <c r="I118" s="150">
        <f t="shared" si="7"/>
        <v>32100</v>
      </c>
      <c r="J118" s="150">
        <f t="shared" si="7"/>
        <v>32100</v>
      </c>
      <c r="K118" s="150">
        <f t="shared" si="7"/>
        <v>32100</v>
      </c>
      <c r="L118" s="150">
        <f t="shared" si="7"/>
        <v>32100</v>
      </c>
      <c r="M118" s="150">
        <f t="shared" si="7"/>
        <v>32100</v>
      </c>
      <c r="N118" s="150">
        <f t="shared" si="7"/>
        <v>32100</v>
      </c>
      <c r="O118" s="150">
        <f t="shared" si="7"/>
        <v>32100</v>
      </c>
      <c r="P118" s="150">
        <f t="shared" si="7"/>
        <v>32100</v>
      </c>
      <c r="Q118" s="150">
        <f t="shared" si="7"/>
        <v>32100</v>
      </c>
      <c r="R118" s="150">
        <f t="shared" si="7"/>
        <v>32100</v>
      </c>
      <c r="S118" s="150">
        <f t="shared" si="7"/>
        <v>32100</v>
      </c>
      <c r="T118" s="150">
        <f t="shared" si="7"/>
        <v>32100</v>
      </c>
      <c r="U118" s="150">
        <f t="shared" si="7"/>
        <v>32100</v>
      </c>
      <c r="V118" s="150">
        <f t="shared" si="7"/>
        <v>32100</v>
      </c>
      <c r="W118" s="150">
        <f t="shared" si="7"/>
        <v>32100</v>
      </c>
      <c r="X118" s="150">
        <f t="shared" si="7"/>
        <v>32100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-1033.8</v>
      </c>
      <c r="F120" s="379">
        <f t="shared" ref="F120:AR120" si="8">IF(F112&gt;$C$73,0,-F109*(($C$42*$C$21+$C$43*SUM($C$26,$C$28))+F118*$C$49))+IF($C$101=F112,$D$101*F109,0)+IF($C$102=F112,$D$102*F109,0)+IF($C$103=F112,$D$103*F109,0)</f>
        <v>-1054.4759999999999</v>
      </c>
      <c r="G120" s="379">
        <f t="shared" si="8"/>
        <v>-1075.5655199999999</v>
      </c>
      <c r="H120" s="379">
        <f t="shared" si="8"/>
        <v>-1097.0768303999998</v>
      </c>
      <c r="I120" s="379">
        <f t="shared" si="8"/>
        <v>-1119.0183670079998</v>
      </c>
      <c r="J120" s="379">
        <f t="shared" si="8"/>
        <v>-1141.3987343481599</v>
      </c>
      <c r="K120" s="379">
        <f t="shared" si="8"/>
        <v>-1164.2267090351231</v>
      </c>
      <c r="L120" s="379">
        <f t="shared" si="8"/>
        <v>-1187.5112432158255</v>
      </c>
      <c r="M120" s="379">
        <f t="shared" si="8"/>
        <v>-1211.2614680801421</v>
      </c>
      <c r="N120" s="379">
        <f t="shared" si="8"/>
        <v>-1235.4866974417448</v>
      </c>
      <c r="O120" s="379">
        <f t="shared" si="8"/>
        <v>-1260.1964313905798</v>
      </c>
      <c r="P120" s="379">
        <f t="shared" si="8"/>
        <v>-1285.4003600183912</v>
      </c>
      <c r="Q120" s="379">
        <f t="shared" si="8"/>
        <v>-1311.1083672187592</v>
      </c>
      <c r="R120" s="379">
        <f t="shared" si="8"/>
        <v>-1337.3305345631343</v>
      </c>
      <c r="S120" s="379">
        <f t="shared" si="8"/>
        <v>-1364.0771452543972</v>
      </c>
      <c r="T120" s="379">
        <f t="shared" si="8"/>
        <v>-1391.3586881594847</v>
      </c>
      <c r="U120" s="379">
        <f t="shared" si="8"/>
        <v>-1419.1858619226746</v>
      </c>
      <c r="V120" s="379">
        <f t="shared" si="8"/>
        <v>-1447.5695791611283</v>
      </c>
      <c r="W120" s="379">
        <f t="shared" si="8"/>
        <v>-1476.5209707443507</v>
      </c>
      <c r="X120" s="379">
        <f t="shared" si="8"/>
        <v>-1506.0513901592376</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1887.9437289509387</v>
      </c>
      <c r="U127" s="379">
        <f t="shared" si="15"/>
        <v>1925.702603529958</v>
      </c>
      <c r="V127" s="379">
        <f t="shared" si="15"/>
        <v>1964.2166556005573</v>
      </c>
      <c r="W127" s="379">
        <f t="shared" si="15"/>
        <v>2003.5009887125682</v>
      </c>
      <c r="X127" s="379">
        <f t="shared" si="15"/>
        <v>2043.5710084868197</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1887.9437289509387</v>
      </c>
      <c r="U130" s="379">
        <f t="shared" si="17"/>
        <v>1925.702603529958</v>
      </c>
      <c r="V130" s="379">
        <f t="shared" si="17"/>
        <v>1964.2166556005573</v>
      </c>
      <c r="W130" s="379">
        <f t="shared" si="17"/>
        <v>2003.5009887125682</v>
      </c>
      <c r="X130" s="379">
        <f t="shared" si="17"/>
        <v>2043.5710084868197</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-1033.8</v>
      </c>
      <c r="F131" s="379">
        <f t="shared" si="18"/>
        <v>-1054.4759999999999</v>
      </c>
      <c r="G131" s="379">
        <f t="shared" si="18"/>
        <v>-1075.5655199999999</v>
      </c>
      <c r="H131" s="379">
        <f t="shared" si="18"/>
        <v>-1097.0768303999998</v>
      </c>
      <c r="I131" s="379">
        <f t="shared" si="18"/>
        <v>-1119.0183670079998</v>
      </c>
      <c r="J131" s="379">
        <f t="shared" si="18"/>
        <v>-1141.3987343481599</v>
      </c>
      <c r="K131" s="379">
        <f t="shared" si="18"/>
        <v>-1164.2267090351231</v>
      </c>
      <c r="L131" s="379">
        <f t="shared" si="18"/>
        <v>-1187.5112432158255</v>
      </c>
      <c r="M131" s="379">
        <f t="shared" si="18"/>
        <v>-1211.2614680801421</v>
      </c>
      <c r="N131" s="379">
        <f t="shared" si="18"/>
        <v>-1235.4866974417448</v>
      </c>
      <c r="O131" s="379">
        <f t="shared" si="18"/>
        <v>-1260.1964313905798</v>
      </c>
      <c r="P131" s="379">
        <f t="shared" si="18"/>
        <v>-1285.4003600183912</v>
      </c>
      <c r="Q131" s="379">
        <f t="shared" si="18"/>
        <v>-1311.1083672187592</v>
      </c>
      <c r="R131" s="379">
        <f t="shared" si="18"/>
        <v>-1337.3305345631343</v>
      </c>
      <c r="S131" s="379">
        <f t="shared" si="18"/>
        <v>-1364.0771452543972</v>
      </c>
      <c r="T131" s="379">
        <f t="shared" si="18"/>
        <v>-1391.3586881594847</v>
      </c>
      <c r="U131" s="379">
        <f t="shared" si="18"/>
        <v>-1419.1858619226746</v>
      </c>
      <c r="V131" s="379">
        <f t="shared" si="18"/>
        <v>-1447.5695791611283</v>
      </c>
      <c r="W131" s="379">
        <f t="shared" si="18"/>
        <v>-1476.5209707443507</v>
      </c>
      <c r="X131" s="379">
        <f t="shared" si="18"/>
        <v>-1506.0513901592376</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-1033.8</v>
      </c>
      <c r="F132" s="386">
        <f t="shared" ref="F132:AR132" si="19">SUM(F130:F131)</f>
        <v>-1054.4759999999999</v>
      </c>
      <c r="G132" s="386">
        <f t="shared" si="19"/>
        <v>-1075.5655199999999</v>
      </c>
      <c r="H132" s="386">
        <f t="shared" si="19"/>
        <v>-1097.0768303999998</v>
      </c>
      <c r="I132" s="386">
        <f t="shared" si="19"/>
        <v>-1119.0183670079998</v>
      </c>
      <c r="J132" s="386">
        <f t="shared" si="19"/>
        <v>-1141.3987343481599</v>
      </c>
      <c r="K132" s="386">
        <f t="shared" si="19"/>
        <v>-1164.2267090351231</v>
      </c>
      <c r="L132" s="386">
        <f t="shared" si="19"/>
        <v>-1187.5112432158255</v>
      </c>
      <c r="M132" s="386">
        <f t="shared" si="19"/>
        <v>-1211.2614680801421</v>
      </c>
      <c r="N132" s="386">
        <f t="shared" si="19"/>
        <v>-1235.4866974417448</v>
      </c>
      <c r="O132" s="386">
        <f t="shared" si="19"/>
        <v>-1260.1964313905798</v>
      </c>
      <c r="P132" s="386">
        <f t="shared" si="19"/>
        <v>-1285.4003600183912</v>
      </c>
      <c r="Q132" s="386">
        <f t="shared" si="19"/>
        <v>-1311.1083672187592</v>
      </c>
      <c r="R132" s="386">
        <f t="shared" si="19"/>
        <v>-1337.3305345631343</v>
      </c>
      <c r="S132" s="386">
        <f t="shared" si="19"/>
        <v>-1364.0771452543972</v>
      </c>
      <c r="T132" s="386">
        <f t="shared" si="19"/>
        <v>496.58504079145405</v>
      </c>
      <c r="U132" s="386">
        <f t="shared" si="19"/>
        <v>506.51674160728339</v>
      </c>
      <c r="V132" s="386">
        <f t="shared" si="19"/>
        <v>516.64707643942893</v>
      </c>
      <c r="W132" s="386">
        <f t="shared" si="19"/>
        <v>526.98001796821745</v>
      </c>
      <c r="X132" s="386">
        <f t="shared" si="19"/>
        <v>537.51961832758207</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-2920.2999999999997</v>
      </c>
      <c r="F134" s="379">
        <f t="shared" si="20"/>
        <v>-2920.2999999999997</v>
      </c>
      <c r="G134" s="379">
        <f t="shared" si="20"/>
        <v>-2920.2999999999997</v>
      </c>
      <c r="H134" s="379">
        <f t="shared" si="20"/>
        <v>-2920.2999999999997</v>
      </c>
      <c r="I134" s="379">
        <f t="shared" si="20"/>
        <v>-2920.2999999999997</v>
      </c>
      <c r="J134" s="379">
        <f t="shared" si="20"/>
        <v>-2920.2999999999997</v>
      </c>
      <c r="K134" s="379">
        <f t="shared" si="20"/>
        <v>-2920.2999999999997</v>
      </c>
      <c r="L134" s="379">
        <f t="shared" si="20"/>
        <v>-2920.2999999999997</v>
      </c>
      <c r="M134" s="379">
        <f t="shared" si="20"/>
        <v>-2920.2999999999997</v>
      </c>
      <c r="N134" s="379">
        <f t="shared" si="20"/>
        <v>-2920.2999999999997</v>
      </c>
      <c r="O134" s="379">
        <f t="shared" si="20"/>
        <v>-2920.2999999999997</v>
      </c>
      <c r="P134" s="379">
        <f t="shared" si="20"/>
        <v>-2920.2999999999997</v>
      </c>
      <c r="Q134" s="379">
        <f t="shared" si="20"/>
        <v>-2920.2999999999997</v>
      </c>
      <c r="R134" s="379">
        <f t="shared" si="20"/>
        <v>-2920.2999999999997</v>
      </c>
      <c r="S134" s="379">
        <f t="shared" si="20"/>
        <v>-2920.2999999999997</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-1533.1574999999998</v>
      </c>
      <c r="F135" s="379">
        <f t="shared" si="21"/>
        <v>-1462.1074741847297</v>
      </c>
      <c r="G135" s="379">
        <f t="shared" si="21"/>
        <v>-1387.5049470786962</v>
      </c>
      <c r="H135" s="379">
        <f t="shared" si="21"/>
        <v>-1309.1722936173608</v>
      </c>
      <c r="I135" s="379">
        <f t="shared" si="21"/>
        <v>-1226.9230074829591</v>
      </c>
      <c r="J135" s="379">
        <f t="shared" si="21"/>
        <v>-1140.5612570418368</v>
      </c>
      <c r="K135" s="379">
        <f t="shared" si="21"/>
        <v>-1049.8814190786586</v>
      </c>
      <c r="L135" s="379">
        <f t="shared" si="21"/>
        <v>-954.66758921732128</v>
      </c>
      <c r="M135" s="379">
        <f t="shared" si="21"/>
        <v>-854.69306786291736</v>
      </c>
      <c r="N135" s="379">
        <f t="shared" si="21"/>
        <v>-749.71982044079323</v>
      </c>
      <c r="O135" s="379">
        <f t="shared" si="21"/>
        <v>-639.49791064756278</v>
      </c>
      <c r="P135" s="379">
        <f t="shared" si="21"/>
        <v>-523.76490536467088</v>
      </c>
      <c r="Q135" s="379">
        <f t="shared" si="21"/>
        <v>-402.24524981763426</v>
      </c>
      <c r="R135" s="379">
        <f t="shared" si="21"/>
        <v>-274.64961149324591</v>
      </c>
      <c r="S135" s="379">
        <f t="shared" si="21"/>
        <v>-140.67419125263817</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-1421.0005163054011</v>
      </c>
      <c r="F136" s="379">
        <f t="shared" si="22"/>
        <v>-1492.0505421206713</v>
      </c>
      <c r="G136" s="379">
        <f t="shared" si="22"/>
        <v>-1566.6530692267049</v>
      </c>
      <c r="H136" s="379">
        <f t="shared" si="22"/>
        <v>-1644.9857226880404</v>
      </c>
      <c r="I136" s="379">
        <f t="shared" si="22"/>
        <v>-1727.2350088224421</v>
      </c>
      <c r="J136" s="379">
        <f t="shared" si="22"/>
        <v>-1813.5967592635643</v>
      </c>
      <c r="K136" s="379">
        <f t="shared" si="22"/>
        <v>-1904.2765972267423</v>
      </c>
      <c r="L136" s="379">
        <f t="shared" si="22"/>
        <v>-1999.4904270880795</v>
      </c>
      <c r="M136" s="379">
        <f t="shared" si="22"/>
        <v>-2099.4649484424835</v>
      </c>
      <c r="N136" s="379">
        <f t="shared" si="22"/>
        <v>-2204.4381958646077</v>
      </c>
      <c r="O136" s="379">
        <f t="shared" si="22"/>
        <v>-2314.6601056578379</v>
      </c>
      <c r="P136" s="379">
        <f t="shared" si="22"/>
        <v>-2430.3931109407304</v>
      </c>
      <c r="Q136" s="379">
        <f t="shared" si="22"/>
        <v>-2551.9127664877669</v>
      </c>
      <c r="R136" s="379">
        <f t="shared" si="22"/>
        <v>-2679.5084048121553</v>
      </c>
      <c r="S136" s="379">
        <f t="shared" si="22"/>
        <v>-2813.4838250527628</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-2954.1580163054009</v>
      </c>
      <c r="F137" s="386">
        <f t="shared" ref="F137:AR137" si="23">SUM(F135,F136)</f>
        <v>-2954.1580163054009</v>
      </c>
      <c r="G137" s="386">
        <f t="shared" si="23"/>
        <v>-2954.1580163054014</v>
      </c>
      <c r="H137" s="386">
        <f t="shared" si="23"/>
        <v>-2954.1580163054014</v>
      </c>
      <c r="I137" s="386">
        <f t="shared" si="23"/>
        <v>-2954.1580163054014</v>
      </c>
      <c r="J137" s="386">
        <f t="shared" si="23"/>
        <v>-2954.1580163054014</v>
      </c>
      <c r="K137" s="386">
        <f t="shared" si="23"/>
        <v>-2954.1580163054009</v>
      </c>
      <c r="L137" s="386">
        <f t="shared" si="23"/>
        <v>-2954.1580163054009</v>
      </c>
      <c r="M137" s="386">
        <f t="shared" si="23"/>
        <v>-2954.1580163054009</v>
      </c>
      <c r="N137" s="386">
        <f t="shared" si="23"/>
        <v>-2954.1580163054009</v>
      </c>
      <c r="O137" s="386">
        <f t="shared" si="23"/>
        <v>-2954.1580163054005</v>
      </c>
      <c r="P137" s="386">
        <f t="shared" si="23"/>
        <v>-2954.1580163054014</v>
      </c>
      <c r="Q137" s="386">
        <f t="shared" si="23"/>
        <v>-2954.1580163054014</v>
      </c>
      <c r="R137" s="386">
        <f t="shared" si="23"/>
        <v>-2954.1580163054014</v>
      </c>
      <c r="S137" s="386">
        <f t="shared" si="23"/>
        <v>-2954.1580163054009</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-5487.2574999999997</v>
      </c>
      <c r="F139" s="379">
        <f t="shared" ref="F139:AR139" si="24">F132+F134+F135</f>
        <v>-5436.8834741847295</v>
      </c>
      <c r="G139" s="379">
        <f t="shared" si="24"/>
        <v>-5383.3704670786956</v>
      </c>
      <c r="H139" s="379">
        <f t="shared" si="24"/>
        <v>-5326.5491240173606</v>
      </c>
      <c r="I139" s="379">
        <f t="shared" si="24"/>
        <v>-5266.2413744909591</v>
      </c>
      <c r="J139" s="379">
        <f t="shared" si="24"/>
        <v>-5202.2599913899967</v>
      </c>
      <c r="K139" s="379">
        <f t="shared" si="24"/>
        <v>-5134.4081281137815</v>
      </c>
      <c r="L139" s="379">
        <f t="shared" si="24"/>
        <v>-5062.4788324331466</v>
      </c>
      <c r="M139" s="379">
        <f t="shared" si="24"/>
        <v>-4986.2545359430587</v>
      </c>
      <c r="N139" s="379">
        <f t="shared" si="24"/>
        <v>-4905.506517882538</v>
      </c>
      <c r="O139" s="379">
        <f t="shared" si="24"/>
        <v>-4819.9943420381423</v>
      </c>
      <c r="P139" s="379">
        <f t="shared" si="24"/>
        <v>-4729.4652653830617</v>
      </c>
      <c r="Q139" s="379">
        <f t="shared" si="24"/>
        <v>-4633.6536170363934</v>
      </c>
      <c r="R139" s="379">
        <f t="shared" si="24"/>
        <v>-4532.2801460563796</v>
      </c>
      <c r="S139" s="379">
        <f t="shared" si="24"/>
        <v>-4425.0513365070356</v>
      </c>
      <c r="T139" s="379">
        <f t="shared" si="24"/>
        <v>496.58504079145405</v>
      </c>
      <c r="U139" s="379">
        <f t="shared" si="24"/>
        <v>506.51674160728339</v>
      </c>
      <c r="V139" s="379">
        <f t="shared" si="24"/>
        <v>516.64707643942893</v>
      </c>
      <c r="W139" s="379">
        <f t="shared" si="24"/>
        <v>526.98001796821745</v>
      </c>
      <c r="X139" s="379">
        <f t="shared" si="24"/>
        <v>537.51961832758207</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1042.578925</v>
      </c>
      <c r="F140" s="379">
        <f t="shared" si="25"/>
        <v>1033.0078600950985</v>
      </c>
      <c r="G140" s="379">
        <f t="shared" si="25"/>
        <v>1022.8403887449522</v>
      </c>
      <c r="H140" s="379">
        <f t="shared" si="25"/>
        <v>1012.0443335632986</v>
      </c>
      <c r="I140" s="379">
        <f t="shared" si="25"/>
        <v>1000.5858611532823</v>
      </c>
      <c r="J140" s="379">
        <f t="shared" si="25"/>
        <v>988.42939836409937</v>
      </c>
      <c r="K140" s="379">
        <f t="shared" si="25"/>
        <v>975.53754434161851</v>
      </c>
      <c r="L140" s="379">
        <f t="shared" si="25"/>
        <v>961.87097816229789</v>
      </c>
      <c r="M140" s="379">
        <f t="shared" si="25"/>
        <v>947.38836182918112</v>
      </c>
      <c r="N140" s="379">
        <f t="shared" si="25"/>
        <v>932.04623839768226</v>
      </c>
      <c r="O140" s="379">
        <f t="shared" si="25"/>
        <v>915.79892498724701</v>
      </c>
      <c r="P140" s="379">
        <f t="shared" si="25"/>
        <v>898.59840042278176</v>
      </c>
      <c r="Q140" s="379">
        <f t="shared" si="25"/>
        <v>880.39418723691472</v>
      </c>
      <c r="R140" s="379">
        <f t="shared" si="25"/>
        <v>861.13322775071219</v>
      </c>
      <c r="S140" s="379">
        <f t="shared" si="25"/>
        <v>840.75975393633678</v>
      </c>
      <c r="T140" s="379">
        <f t="shared" si="25"/>
        <v>-94.351157750376274</v>
      </c>
      <c r="U140" s="379">
        <f t="shared" si="25"/>
        <v>-96.238180905383842</v>
      </c>
      <c r="V140" s="379">
        <f t="shared" si="25"/>
        <v>-98.162944523491504</v>
      </c>
      <c r="W140" s="379">
        <f t="shared" si="25"/>
        <v>-100.12620341396132</v>
      </c>
      <c r="X140" s="379">
        <f t="shared" si="25"/>
        <v>-102.12872748224059</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-2945.3790913054008</v>
      </c>
      <c r="F142" s="386">
        <f t="shared" si="26"/>
        <v>-2975.6261562103027</v>
      </c>
      <c r="G142" s="386">
        <f t="shared" si="26"/>
        <v>-3006.8831475604493</v>
      </c>
      <c r="H142" s="386">
        <f t="shared" si="26"/>
        <v>-3039.1905131421026</v>
      </c>
      <c r="I142" s="386">
        <f t="shared" si="26"/>
        <v>-3072.5905221601188</v>
      </c>
      <c r="J142" s="386">
        <f t="shared" si="26"/>
        <v>-3107.1273522894617</v>
      </c>
      <c r="K142" s="386">
        <f t="shared" si="26"/>
        <v>-3142.8471809989051</v>
      </c>
      <c r="L142" s="386">
        <f t="shared" si="26"/>
        <v>-3179.7982813589283</v>
      </c>
      <c r="M142" s="386">
        <f t="shared" si="26"/>
        <v>-3218.0311225563619</v>
      </c>
      <c r="N142" s="386">
        <f t="shared" si="26"/>
        <v>-3257.5984753494636</v>
      </c>
      <c r="O142" s="386">
        <f t="shared" si="26"/>
        <v>-3298.5555227087334</v>
      </c>
      <c r="P142" s="386">
        <f t="shared" si="26"/>
        <v>-3340.9599759010111</v>
      </c>
      <c r="Q142" s="386">
        <f t="shared" si="26"/>
        <v>-3384.8721962872455</v>
      </c>
      <c r="R142" s="386">
        <f t="shared" si="26"/>
        <v>-3430.3553231178234</v>
      </c>
      <c r="S142" s="386">
        <f t="shared" si="26"/>
        <v>-3477.4754076234613</v>
      </c>
      <c r="T142" s="386">
        <f t="shared" si="26"/>
        <v>402.23388304107777</v>
      </c>
      <c r="U142" s="386">
        <f t="shared" si="26"/>
        <v>410.27856070189955</v>
      </c>
      <c r="V142" s="386">
        <f t="shared" si="26"/>
        <v>418.48413191593744</v>
      </c>
      <c r="W142" s="386">
        <f t="shared" si="26"/>
        <v>426.85381455425613</v>
      </c>
      <c r="X142" s="386">
        <f t="shared" si="26"/>
        <v>435.39089084534146</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-43804.499999999993</v>
      </c>
      <c r="E143" s="379">
        <f>E132+E140</f>
        <v>8.778925000000072</v>
      </c>
      <c r="F143" s="379">
        <f t="shared" ref="F143:AR143" si="27">F132+F140</f>
        <v>-21.468139904901363</v>
      </c>
      <c r="G143" s="379">
        <f t="shared" si="27"/>
        <v>-52.7251312550477</v>
      </c>
      <c r="H143" s="379">
        <f t="shared" si="27"/>
        <v>-85.032496836701284</v>
      </c>
      <c r="I143" s="379">
        <f t="shared" si="27"/>
        <v>-118.43250585471753</v>
      </c>
      <c r="J143" s="379">
        <f t="shared" si="27"/>
        <v>-152.96933598406054</v>
      </c>
      <c r="K143" s="379">
        <f t="shared" si="27"/>
        <v>-188.68916469350461</v>
      </c>
      <c r="L143" s="379">
        <f t="shared" si="27"/>
        <v>-225.64026505352763</v>
      </c>
      <c r="M143" s="379">
        <f t="shared" si="27"/>
        <v>-263.87310625096097</v>
      </c>
      <c r="N143" s="379">
        <f t="shared" si="27"/>
        <v>-303.44045904406255</v>
      </c>
      <c r="O143" s="379">
        <f t="shared" si="27"/>
        <v>-344.39750640333284</v>
      </c>
      <c r="P143" s="379">
        <f t="shared" si="27"/>
        <v>-386.80195959560945</v>
      </c>
      <c r="Q143" s="379">
        <f t="shared" si="27"/>
        <v>-430.7141799818445</v>
      </c>
      <c r="R143" s="379">
        <f t="shared" si="27"/>
        <v>-476.19730681242208</v>
      </c>
      <c r="S143" s="379">
        <f t="shared" si="27"/>
        <v>-523.31739131806046</v>
      </c>
      <c r="T143" s="379">
        <f t="shared" si="27"/>
        <v>402.23388304107777</v>
      </c>
      <c r="U143" s="379">
        <f t="shared" si="27"/>
        <v>410.27856070189955</v>
      </c>
      <c r="V143" s="379">
        <f t="shared" si="27"/>
        <v>418.48413191593744</v>
      </c>
      <c r="W143" s="379">
        <f t="shared" si="27"/>
        <v>426.85381455425613</v>
      </c>
      <c r="X143" s="379">
        <f t="shared" si="27"/>
        <v>435.39089084534146</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-13141.349999999997</v>
      </c>
      <c r="E144" s="379">
        <f>E142</f>
        <v>-2945.3790913054008</v>
      </c>
      <c r="F144" s="379">
        <f t="shared" ref="F144:AR144" si="28">F142</f>
        <v>-2975.6261562103027</v>
      </c>
      <c r="G144" s="379">
        <f t="shared" si="28"/>
        <v>-3006.8831475604493</v>
      </c>
      <c r="H144" s="379">
        <f t="shared" si="28"/>
        <v>-3039.1905131421026</v>
      </c>
      <c r="I144" s="379">
        <f t="shared" si="28"/>
        <v>-3072.5905221601188</v>
      </c>
      <c r="J144" s="379">
        <f t="shared" si="28"/>
        <v>-3107.1273522894617</v>
      </c>
      <c r="K144" s="379">
        <f t="shared" si="28"/>
        <v>-3142.8471809989051</v>
      </c>
      <c r="L144" s="379">
        <f t="shared" si="28"/>
        <v>-3179.7982813589283</v>
      </c>
      <c r="M144" s="379">
        <f t="shared" si="28"/>
        <v>-3218.0311225563619</v>
      </c>
      <c r="N144" s="379">
        <f t="shared" si="28"/>
        <v>-3257.5984753494636</v>
      </c>
      <c r="O144" s="379">
        <f t="shared" si="28"/>
        <v>-3298.5555227087334</v>
      </c>
      <c r="P144" s="379">
        <f t="shared" si="28"/>
        <v>-3340.9599759010111</v>
      </c>
      <c r="Q144" s="379">
        <f t="shared" si="28"/>
        <v>-3384.8721962872455</v>
      </c>
      <c r="R144" s="379">
        <f t="shared" si="28"/>
        <v>-3430.3553231178234</v>
      </c>
      <c r="S144" s="379">
        <f t="shared" si="28"/>
        <v>-3477.4754076234613</v>
      </c>
      <c r="T144" s="379">
        <f t="shared" si="28"/>
        <v>402.23388304107777</v>
      </c>
      <c r="U144" s="379">
        <f t="shared" si="28"/>
        <v>410.27856070189955</v>
      </c>
      <c r="V144" s="379">
        <f t="shared" si="28"/>
        <v>418.48413191593744</v>
      </c>
      <c r="W144" s="379">
        <f t="shared" si="28"/>
        <v>426.85381455425613</v>
      </c>
      <c r="X144" s="379">
        <f t="shared" si="28"/>
        <v>435.39089084534146</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32100</v>
      </c>
      <c r="F145" s="379">
        <f t="shared" si="29"/>
        <v>32100</v>
      </c>
      <c r="G145" s="379">
        <f t="shared" si="29"/>
        <v>32100</v>
      </c>
      <c r="H145" s="379">
        <f t="shared" si="29"/>
        <v>32100</v>
      </c>
      <c r="I145" s="379">
        <f t="shared" si="29"/>
        <v>32100</v>
      </c>
      <c r="J145" s="379">
        <f t="shared" si="29"/>
        <v>32100</v>
      </c>
      <c r="K145" s="379">
        <f t="shared" si="29"/>
        <v>32100</v>
      </c>
      <c r="L145" s="379">
        <f t="shared" si="29"/>
        <v>32100</v>
      </c>
      <c r="M145" s="379">
        <f t="shared" si="29"/>
        <v>32100</v>
      </c>
      <c r="N145" s="379">
        <f t="shared" si="29"/>
        <v>32100</v>
      </c>
      <c r="O145" s="379">
        <f t="shared" si="29"/>
        <v>32100</v>
      </c>
      <c r="P145" s="379">
        <f t="shared" si="29"/>
        <v>32100</v>
      </c>
      <c r="Q145" s="379">
        <f t="shared" si="29"/>
        <v>32100</v>
      </c>
      <c r="R145" s="379">
        <f t="shared" si="29"/>
        <v>32100</v>
      </c>
      <c r="S145" s="379">
        <f t="shared" si="29"/>
        <v>32100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43804.499999999993</v>
      </c>
      <c r="E146" s="123">
        <f>IF(E112&lt;=$C76,D146-($C$5*E118+E132+E135),D146-(E132+E135))</f>
        <v>40847.047499999993</v>
      </c>
      <c r="F146" s="123">
        <f t="shared" ref="F146:AR146" si="30">IF(F112&lt;=$C76,E146-($C$5*F118+F132+F135),E146-(F132+F135))</f>
        <v>37839.220974184725</v>
      </c>
      <c r="G146" s="123">
        <f t="shared" si="30"/>
        <v>34777.881441263424</v>
      </c>
      <c r="H146" s="123">
        <f t="shared" si="30"/>
        <v>31659.720565280782</v>
      </c>
      <c r="I146" s="123">
        <f>IF(I112&lt;=$C76,H146-($C$5*I118+I132+I135),H146-(I132+I135))</f>
        <v>28481.251939771741</v>
      </c>
      <c r="J146" s="123">
        <f t="shared" si="30"/>
        <v>25238.801931161739</v>
      </c>
      <c r="K146" s="123">
        <f>IF(K112&lt;=$C76,J146-($C$5*K118+K132+K135),J146-(K132+K135))</f>
        <v>21928.50005927552</v>
      </c>
      <c r="L146" s="123">
        <f t="shared" si="30"/>
        <v>18546.268891708667</v>
      </c>
      <c r="M146" s="123">
        <f t="shared" si="30"/>
        <v>15087.813427651727</v>
      </c>
      <c r="N146" s="123">
        <f t="shared" si="30"/>
        <v>11548.609945534265</v>
      </c>
      <c r="O146" s="123">
        <f t="shared" si="30"/>
        <v>7923.8942875724078</v>
      </c>
      <c r="P146" s="123">
        <f t="shared" si="30"/>
        <v>4208.6495529554704</v>
      </c>
      <c r="Q146" s="123">
        <f t="shared" si="30"/>
        <v>397.59316999186467</v>
      </c>
      <c r="R146" s="123">
        <f t="shared" si="30"/>
        <v>-3514.8366839517548</v>
      </c>
      <c r="S146" s="123">
        <f t="shared" si="30"/>
        <v>-7534.4953474447193</v>
      </c>
      <c r="T146" s="123">
        <f t="shared" si="30"/>
        <v>-8031.0803882361733</v>
      </c>
      <c r="U146" s="123">
        <f t="shared" si="30"/>
        <v>-8537.5971298434561</v>
      </c>
      <c r="V146" s="123">
        <f t="shared" si="30"/>
        <v>-9054.244206282885</v>
      </c>
      <c r="W146" s="123">
        <f t="shared" si="30"/>
        <v>-9581.224224251102</v>
      </c>
      <c r="X146" s="123">
        <f t="shared" si="30"/>
        <v>-10118.743842578684</v>
      </c>
      <c r="Y146" s="123">
        <f t="shared" si="30"/>
        <v>-10118.743842578684</v>
      </c>
      <c r="Z146" s="123">
        <f t="shared" si="30"/>
        <v>-10118.743842578684</v>
      </c>
      <c r="AA146" s="123">
        <f>IF(AA112&lt;=$C76,Z146-($C$5*AA118+AA132+AA135),Z146-(AA132+AA135))</f>
        <v>-10118.743842578684</v>
      </c>
      <c r="AB146" s="123">
        <f t="shared" si="30"/>
        <v>-10118.743842578684</v>
      </c>
      <c r="AC146" s="123">
        <f t="shared" si="30"/>
        <v>-10118.743842578684</v>
      </c>
      <c r="AD146" s="123">
        <f t="shared" si="30"/>
        <v>-10118.743842578684</v>
      </c>
      <c r="AE146" s="123">
        <f>IF(AE112&lt;=$C76,AD146-($C$5*AE118+AE132+AE135),AD146-(AE132+AE135))</f>
        <v>-10118.743842578684</v>
      </c>
      <c r="AF146" s="123">
        <f t="shared" si="30"/>
        <v>-10118.743842578684</v>
      </c>
      <c r="AG146" s="123">
        <f>IF(AG112&lt;=$C76,AF146-($C$5*AG118+AG132+AG135),AF146-(AG132+AG135))</f>
        <v>-10118.743842578684</v>
      </c>
      <c r="AH146" s="123">
        <f t="shared" si="30"/>
        <v>-10118.743842578684</v>
      </c>
      <c r="AI146" s="123">
        <f t="shared" si="30"/>
        <v>-10118.743842578684</v>
      </c>
      <c r="AJ146" s="123">
        <f t="shared" si="30"/>
        <v>-10118.743842578684</v>
      </c>
      <c r="AK146" s="123">
        <f t="shared" si="30"/>
        <v>-10118.743842578684</v>
      </c>
      <c r="AL146" s="123">
        <f t="shared" si="30"/>
        <v>-10118.743842578684</v>
      </c>
      <c r="AM146" s="123">
        <f t="shared" si="30"/>
        <v>-10118.743842578684</v>
      </c>
      <c r="AN146" s="123">
        <f t="shared" si="30"/>
        <v>-10118.743842578684</v>
      </c>
      <c r="AO146" s="123">
        <f t="shared" si="30"/>
        <v>-10118.743842578684</v>
      </c>
      <c r="AP146" s="123">
        <f t="shared" si="30"/>
        <v>-10118.743842578684</v>
      </c>
      <c r="AQ146" s="123">
        <f t="shared" si="30"/>
        <v>-10118.743842578684</v>
      </c>
      <c r="AR146" s="387">
        <f t="shared" si="30"/>
        <v>-10118.743842578684</v>
      </c>
    </row>
    <row r="147" spans="1:44" ht="13" thickBot="1" x14ac:dyDescent="0.3">
      <c r="B147" s="124" t="s">
        <v>473</v>
      </c>
      <c r="C147" s="125"/>
      <c r="D147" s="125"/>
      <c r="E147" s="126">
        <f t="shared" ref="E147:AR147" si="31">IF(E112&gt;$C$74,"",(-$C$94*(E139+$C$5*E118)+E132+$C$5*E118)/-E137)</f>
        <v>1.5177085992872259</v>
      </c>
      <c r="F147" s="126">
        <f t="shared" si="31"/>
        <v>1.5074697885201807</v>
      </c>
      <c r="G147" s="126">
        <f t="shared" si="31"/>
        <v>1.496889111664838</v>
      </c>
      <c r="H147" s="126">
        <f t="shared" si="31"/>
        <v>1.4859528769057853</v>
      </c>
      <c r="I147" s="126">
        <f t="shared" si="31"/>
        <v>1.4746467758666173</v>
      </c>
      <c r="J147" s="126">
        <f t="shared" si="31"/>
        <v>1.4629558541424859</v>
      </c>
      <c r="K147" s="126">
        <f t="shared" si="31"/>
        <v>1.4508644803864819</v>
      </c>
      <c r="L147" s="126">
        <f t="shared" si="31"/>
        <v>1.4383563138780988</v>
      </c>
      <c r="M147" s="126">
        <f t="shared" si="31"/>
        <v>1.4254142704984254</v>
      </c>
      <c r="N147" s="126">
        <f t="shared" si="31"/>
        <v>1.4120204870329811</v>
      </c>
      <c r="O147" s="126">
        <f t="shared" si="31"/>
        <v>1.3981562837191406</v>
      </c>
      <c r="P147" s="126">
        <f t="shared" si="31"/>
        <v>1.3838021249509813</v>
      </c>
      <c r="Q147" s="126">
        <f t="shared" si="31"/>
        <v>1.3689375780500159</v>
      </c>
      <c r="R147" s="126">
        <f t="shared" si="31"/>
        <v>1.3535412700057152</v>
      </c>
      <c r="S147" s="126">
        <f t="shared" si="31"/>
        <v>1.3375908420849476</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-28927.585097009483</v>
      </c>
      <c r="D150" s="57" t="s">
        <v>476</v>
      </c>
    </row>
    <row r="151" spans="1:44" x14ac:dyDescent="0.25">
      <c r="B151" s="26" t="s">
        <v>477</v>
      </c>
      <c r="C151" s="153">
        <f>(1-$C$94)*NPV($C$91,E145:AR145)</f>
        <v>244478.79289196874</v>
      </c>
      <c r="D151" s="58" t="str">
        <f>$C$7</f>
        <v>kWh</v>
      </c>
      <c r="F151" s="59"/>
    </row>
    <row r="152" spans="1:44" x14ac:dyDescent="0.25">
      <c r="B152" s="26" t="s">
        <v>478</v>
      </c>
      <c r="C152" s="153">
        <f>$C$41*1000000</f>
        <v>43804.499999999993</v>
      </c>
      <c r="D152" s="57" t="s">
        <v>424</v>
      </c>
      <c r="F152" s="60"/>
    </row>
    <row r="153" spans="1:44" x14ac:dyDescent="0.25">
      <c r="B153" s="26" t="s">
        <v>479</v>
      </c>
      <c r="C153" s="154">
        <f>AVERAGE(E147:AR147)</f>
        <v>1.4342871104662613</v>
      </c>
      <c r="D153" s="57"/>
      <c r="F153" s="60"/>
    </row>
    <row r="154" spans="1:44" x14ac:dyDescent="0.25">
      <c r="B154" s="26" t="s">
        <v>480</v>
      </c>
      <c r="C154" s="155" t="str">
        <f>CONCATENATE(ROUND(((1-$C$94)*$C$90*$C$92+$C$93*$C$91)*100,1),"% / ",ROUND((((1+(1-$C$94)*$C$90*$C$92+$C$93*$C$91)/(1+$C$89))-1)*100,1),"%")</f>
        <v>4.8% / 2.7%</v>
      </c>
      <c r="D154" s="57"/>
      <c r="F154" s="59"/>
      <c r="G154" s="61"/>
    </row>
    <row r="155" spans="1:44" x14ac:dyDescent="0.25">
      <c r="B155" s="26" t="s">
        <v>481</v>
      </c>
      <c r="C155" s="156">
        <f>IFERROR(IRR(D143:AR143),"n.v.t.")</f>
        <v>-0.18275651917859248</v>
      </c>
      <c r="D155" s="57"/>
      <c r="F155" s="60"/>
      <c r="G155" s="61"/>
    </row>
    <row r="156" spans="1:44" x14ac:dyDescent="0.25">
      <c r="B156" s="26" t="s">
        <v>482</v>
      </c>
      <c r="C156" s="156" t="str">
        <f>IFERROR(IRR(D144:AR144),"n.v.t.")</f>
        <v>n.v.t.</v>
      </c>
      <c r="D156" s="57"/>
      <c r="G156" s="61"/>
    </row>
    <row r="157" spans="1:44" x14ac:dyDescent="0.25">
      <c r="B157" s="38" t="s">
        <v>483</v>
      </c>
      <c r="C157" s="153">
        <f>$C$92*C152-C97</f>
        <v>30663.149999999994</v>
      </c>
      <c r="D157" s="57" t="s">
        <v>424</v>
      </c>
      <c r="F157" s="35"/>
    </row>
    <row r="158" spans="1:44" x14ac:dyDescent="0.25">
      <c r="B158" s="38" t="s">
        <v>484</v>
      </c>
      <c r="C158" s="153">
        <f>$C$93*C152-C98</f>
        <v>13141.349999999997</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2140</v>
      </c>
      <c r="D160" s="57" t="s">
        <v>340</v>
      </c>
      <c r="F160" s="35"/>
    </row>
    <row r="161" spans="2:44" x14ac:dyDescent="0.25">
      <c r="B161" s="43" t="s">
        <v>487</v>
      </c>
      <c r="C161" s="461" t="str">
        <f>CONCATENATE( "tussen ", INDEX(D112:X112, MATCH(0,D146:X146, -1)), " en ",  1 + INDEX(D112:X112, MATCH(0,D146:X146, -1)), " jaar")</f>
        <v>tussen 13 en 14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5.8999999999999997E-2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6.3018201912568517E-2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41" priority="3" operator="containsText" text="Pas op">
      <formula>NOT(ISERROR(SEARCH("Pas op",G1)))</formula>
    </cfRule>
  </conditionalFormatting>
  <conditionalFormatting sqref="G105">
    <cfRule type="containsText" dxfId="40" priority="1" operator="containsText" text="Pas op">
      <formula>NOT(ISERROR(SEARCH("Pas op",G105)))</formula>
    </cfRule>
  </conditionalFormatting>
  <conditionalFormatting sqref="G184:G1048576">
    <cfRule type="containsText" dxfId="39" priority="2" operator="containsText" text="Pas op">
      <formula>NOT(ISERROR(SEARCH("Pas op",G184)))</formula>
    </cfRule>
  </conditionalFormatting>
  <dataValidations count="3">
    <dataValidation type="list" allowBlank="1" showInputMessage="1" showErrorMessage="1" sqref="C14" xr:uid="{90033139-EE89-443C-B54F-3111B3131C11}">
      <formula1>"Nee,Ja,Geen warmte"</formula1>
    </dataValidation>
    <dataValidation type="list" allowBlank="1" showInputMessage="1" showErrorMessage="1" sqref="C7" xr:uid="{B744C9D9-C52F-485E-B1F2-52E0BD086A02}">
      <formula1>"t CO2,kWh"</formula1>
    </dataValidation>
    <dataValidation type="list" allowBlank="1" showInputMessage="1" showErrorMessage="1" sqref="C37361 C102897 C168433 C233969 C299505 C365041 C430577 C496113 C561649 C627185 C692721 C758257 C823793 C889329 C954865" xr:uid="{A28BBCFE-8A16-4065-83A5-AE51BA1BDD94}">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A11BD7B6-7207-4736-A56A-8AA137A3BE91}">
          <x14:formula1>
            <xm:f>Correcties!$A$8:$A$8</xm:f>
          </x14:formula1>
          <xm:sqref>C15</xm:sqref>
        </x14:dataValidation>
        <x14:dataValidation type="list" allowBlank="1" showInputMessage="1" showErrorMessage="1" xr:uid="{63764FB7-DD05-4F38-920B-19CB2965A2C4}">
          <x14:formula1>
            <xm:f>Correcties!$A$27:$A$38</xm:f>
          </x14:formula1>
          <xm:sqref>C13</xm:sqref>
        </x14:dataValidation>
        <x14:dataValidation type="list" allowBlank="1" showInputMessage="1" showErrorMessage="1" xr:uid="{B123569A-2A67-4B56-9C1E-F3933F806AED}">
          <x14:formula1>
            <xm:f>Colofon!$B$34:$B$39</xm:f>
          </x14:formula1>
          <xm:sqref>C9</xm:sqref>
        </x14:dataValidation>
        <x14:dataValidation type="list" allowBlank="1" showInputMessage="1" showErrorMessage="1" xr:uid="{2D482C71-8536-49FE-AB44-6AE356248E7B}">
          <x14:formula1>
            <xm:f>Correcties!$A$10:$A$10</xm:f>
          </x14:formula1>
          <xm:sqref>C16</xm:sqref>
        </x14:dataValidation>
        <x14:dataValidation type="list" allowBlank="1" showInputMessage="1" showErrorMessage="1" xr:uid="{D69CC6E4-26CA-4851-A602-BFD748C02870}">
          <x14:formula1>
            <xm:f>Correcties!$A$4:$A$10</xm:f>
          </x14:formula1>
          <xm:sqref>C12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C0EC7-878D-4855-BBA1-730A7C729EA2}">
  <sheetPr codeName="Sheet98">
    <tabColor theme="5" tint="0.59999389629810485"/>
    <pageSetUpPr fitToPage="1"/>
  </sheetPr>
  <dimension ref="A1:AR198"/>
  <sheetViews>
    <sheetView showGridLines="0" topLeftCell="A122"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513</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0.1232</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683.44007319304671</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IFERROR(INDEX(Correcties!$A$1:$I$301,MATCH('9'!C12,Correcties!$A$1:$A$301,0),5),"")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1000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2250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2240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2.2556799999999995</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13.8</v>
      </c>
      <c r="D43" s="99" t="str">
        <f>CONCATENATE("Euro/",$C$8,"/jaar")</f>
        <v>Euro/kW/jaar</v>
      </c>
      <c r="E43" s="447" t="s">
        <v>357</v>
      </c>
      <c r="F43" s="447"/>
      <c r="G43" s="447"/>
      <c r="H43" s="447"/>
      <c r="I43" s="447"/>
      <c r="J43" s="447"/>
      <c r="K43" s="447"/>
      <c r="L43" s="447"/>
      <c r="M43" s="448"/>
    </row>
    <row r="44" spans="2:13" x14ac:dyDescent="0.25">
      <c r="B44" s="96" t="s">
        <v>359</v>
      </c>
      <c r="C44" s="348">
        <f>(C42*C21+C43*SUM(C26,C28))/1000</f>
        <v>13.8</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1.7999999999999999E-2</v>
      </c>
      <c r="D48" s="99" t="str">
        <f>CONCATENATE("Euro/",$C$7)</f>
        <v>Euro/kWh</v>
      </c>
      <c r="E48" s="447"/>
      <c r="F48" s="447"/>
      <c r="G48" s="447"/>
      <c r="H48" s="447"/>
      <c r="I48" s="447"/>
      <c r="J48" s="447"/>
      <c r="K48" s="447"/>
      <c r="L48" s="447"/>
      <c r="M48" s="448"/>
    </row>
    <row r="49" spans="2:13" x14ac:dyDescent="0.25">
      <c r="B49" s="97" t="s">
        <v>366</v>
      </c>
      <c r="C49" s="142">
        <f>SUM(C45:C48)</f>
        <v>1.7999999999999999E-2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2250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33750000</v>
      </c>
      <c r="D84" s="98" t="str">
        <f>C7</f>
        <v>kWh</v>
      </c>
      <c r="E84" s="447"/>
      <c r="F84" s="447"/>
      <c r="G84" s="447"/>
      <c r="H84" s="447"/>
      <c r="I84" s="447"/>
      <c r="J84" s="447"/>
      <c r="K84" s="447"/>
      <c r="L84" s="447"/>
      <c r="M84" s="448"/>
    </row>
    <row r="85" spans="2:13" x14ac:dyDescent="0.25">
      <c r="B85" s="113" t="s">
        <v>413</v>
      </c>
      <c r="C85" s="145">
        <f>IF(C77=0,SUM(E118:INDEX(E118:AR118,1,C73)),SUM(E118:INDEX(E118:AR118,1,C77)))</f>
        <v>45000000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4.7500000000000001E-2</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-2255679.9999999995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2250000</v>
      </c>
      <c r="F115" s="379">
        <f t="shared" si="4"/>
        <v>2250000</v>
      </c>
      <c r="G115" s="379">
        <f t="shared" si="4"/>
        <v>2250000</v>
      </c>
      <c r="H115" s="379">
        <f t="shared" si="4"/>
        <v>2250000</v>
      </c>
      <c r="I115" s="379">
        <f t="shared" si="4"/>
        <v>2250000</v>
      </c>
      <c r="J115" s="379">
        <f t="shared" si="4"/>
        <v>2250000</v>
      </c>
      <c r="K115" s="379">
        <f t="shared" si="4"/>
        <v>2250000</v>
      </c>
      <c r="L115" s="379">
        <f t="shared" si="4"/>
        <v>2250000</v>
      </c>
      <c r="M115" s="379">
        <f t="shared" si="4"/>
        <v>2250000</v>
      </c>
      <c r="N115" s="379">
        <f t="shared" si="4"/>
        <v>2250000</v>
      </c>
      <c r="O115" s="379">
        <f t="shared" si="4"/>
        <v>2250000</v>
      </c>
      <c r="P115" s="379">
        <f t="shared" si="4"/>
        <v>2250000</v>
      </c>
      <c r="Q115" s="379">
        <f t="shared" si="4"/>
        <v>2250000</v>
      </c>
      <c r="R115" s="379">
        <f t="shared" si="4"/>
        <v>2250000</v>
      </c>
      <c r="S115" s="379">
        <f t="shared" si="4"/>
        <v>2250000</v>
      </c>
      <c r="T115" s="379">
        <f t="shared" si="4"/>
        <v>2250000</v>
      </c>
      <c r="U115" s="379">
        <f t="shared" si="4"/>
        <v>2250000</v>
      </c>
      <c r="V115" s="379">
        <f t="shared" si="4"/>
        <v>2250000</v>
      </c>
      <c r="W115" s="379">
        <f t="shared" si="4"/>
        <v>2250000</v>
      </c>
      <c r="X115" s="379">
        <f t="shared" si="4"/>
        <v>2250000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2250000</v>
      </c>
      <c r="F118" s="150">
        <f t="shared" ref="F118:AR118" si="7">SUM(F115:F117)</f>
        <v>2250000</v>
      </c>
      <c r="G118" s="150">
        <f t="shared" si="7"/>
        <v>2250000</v>
      </c>
      <c r="H118" s="150">
        <f t="shared" si="7"/>
        <v>2250000</v>
      </c>
      <c r="I118" s="150">
        <f t="shared" si="7"/>
        <v>2250000</v>
      </c>
      <c r="J118" s="150">
        <f t="shared" si="7"/>
        <v>2250000</v>
      </c>
      <c r="K118" s="150">
        <f t="shared" si="7"/>
        <v>2250000</v>
      </c>
      <c r="L118" s="150">
        <f t="shared" si="7"/>
        <v>2250000</v>
      </c>
      <c r="M118" s="150">
        <f t="shared" si="7"/>
        <v>2250000</v>
      </c>
      <c r="N118" s="150">
        <f t="shared" si="7"/>
        <v>2250000</v>
      </c>
      <c r="O118" s="150">
        <f t="shared" si="7"/>
        <v>2250000</v>
      </c>
      <c r="P118" s="150">
        <f t="shared" si="7"/>
        <v>2250000</v>
      </c>
      <c r="Q118" s="150">
        <f t="shared" si="7"/>
        <v>2250000</v>
      </c>
      <c r="R118" s="150">
        <f t="shared" si="7"/>
        <v>2250000</v>
      </c>
      <c r="S118" s="150">
        <f t="shared" si="7"/>
        <v>2250000</v>
      </c>
      <c r="T118" s="150">
        <f t="shared" si="7"/>
        <v>2250000</v>
      </c>
      <c r="U118" s="150">
        <f t="shared" si="7"/>
        <v>2250000</v>
      </c>
      <c r="V118" s="150">
        <f t="shared" si="7"/>
        <v>2250000</v>
      </c>
      <c r="W118" s="150">
        <f t="shared" si="7"/>
        <v>2250000</v>
      </c>
      <c r="X118" s="150">
        <f t="shared" si="7"/>
        <v>2250000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-54300</v>
      </c>
      <c r="F120" s="379">
        <f t="shared" ref="F120:AR120" si="8">IF(F112&gt;$C$73,0,-F109*(($C$42*$C$21+$C$43*SUM($C$26,$C$28))+F118*$C$49))+IF($C$101=F112,$D$101*F109,0)+IF($C$102=F112,$D$102*F109,0)+IF($C$103=F112,$D$103*F109,0)</f>
        <v>-55386</v>
      </c>
      <c r="G120" s="379">
        <f t="shared" si="8"/>
        <v>-56493.72</v>
      </c>
      <c r="H120" s="379">
        <f t="shared" si="8"/>
        <v>-57623.594399999994</v>
      </c>
      <c r="I120" s="379">
        <f t="shared" si="8"/>
        <v>-58776.066288000002</v>
      </c>
      <c r="J120" s="379">
        <f t="shared" si="8"/>
        <v>-59951.587613759999</v>
      </c>
      <c r="K120" s="379">
        <f t="shared" si="8"/>
        <v>-61150.619366035207</v>
      </c>
      <c r="L120" s="379">
        <f t="shared" si="8"/>
        <v>-62373.631753355898</v>
      </c>
      <c r="M120" s="379">
        <f t="shared" si="8"/>
        <v>-63621.104388423017</v>
      </c>
      <c r="N120" s="379">
        <f t="shared" si="8"/>
        <v>-64893.52647619148</v>
      </c>
      <c r="O120" s="379">
        <f t="shared" si="8"/>
        <v>-66191.397005715306</v>
      </c>
      <c r="P120" s="379">
        <f t="shared" si="8"/>
        <v>-67515.224945829599</v>
      </c>
      <c r="Q120" s="379">
        <f t="shared" si="8"/>
        <v>-68865.529444746207</v>
      </c>
      <c r="R120" s="379">
        <f t="shared" si="8"/>
        <v>-70242.840033641129</v>
      </c>
      <c r="S120" s="379">
        <f t="shared" si="8"/>
        <v>-71647.69683431396</v>
      </c>
      <c r="T120" s="379">
        <f t="shared" si="8"/>
        <v>-73080.650771000219</v>
      </c>
      <c r="U120" s="379">
        <f t="shared" si="8"/>
        <v>-74542.263786420241</v>
      </c>
      <c r="V120" s="379">
        <f t="shared" si="8"/>
        <v>-76033.109062148651</v>
      </c>
      <c r="W120" s="379">
        <f t="shared" si="8"/>
        <v>-77553.771243391602</v>
      </c>
      <c r="X120" s="379">
        <f t="shared" si="8"/>
        <v>-79104.846668259444</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132332.50436572</v>
      </c>
      <c r="U127" s="379">
        <f t="shared" si="15"/>
        <v>134979.15445303443</v>
      </c>
      <c r="V127" s="379">
        <f t="shared" si="15"/>
        <v>137678.73754209513</v>
      </c>
      <c r="W127" s="379">
        <f t="shared" si="15"/>
        <v>140432.31229293701</v>
      </c>
      <c r="X127" s="379">
        <f t="shared" si="15"/>
        <v>143240.95853879576</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132332.50436572</v>
      </c>
      <c r="U130" s="379">
        <f t="shared" si="17"/>
        <v>134979.15445303443</v>
      </c>
      <c r="V130" s="379">
        <f t="shared" si="17"/>
        <v>137678.73754209513</v>
      </c>
      <c r="W130" s="379">
        <f t="shared" si="17"/>
        <v>140432.31229293701</v>
      </c>
      <c r="X130" s="379">
        <f t="shared" si="17"/>
        <v>143240.95853879576</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-54300</v>
      </c>
      <c r="F131" s="379">
        <f t="shared" si="18"/>
        <v>-55386</v>
      </c>
      <c r="G131" s="379">
        <f t="shared" si="18"/>
        <v>-56493.72</v>
      </c>
      <c r="H131" s="379">
        <f t="shared" si="18"/>
        <v>-57623.594399999994</v>
      </c>
      <c r="I131" s="379">
        <f t="shared" si="18"/>
        <v>-58776.066288000002</v>
      </c>
      <c r="J131" s="379">
        <f t="shared" si="18"/>
        <v>-59951.587613759999</v>
      </c>
      <c r="K131" s="379">
        <f t="shared" si="18"/>
        <v>-61150.619366035207</v>
      </c>
      <c r="L131" s="379">
        <f t="shared" si="18"/>
        <v>-62373.631753355898</v>
      </c>
      <c r="M131" s="379">
        <f t="shared" si="18"/>
        <v>-63621.104388423017</v>
      </c>
      <c r="N131" s="379">
        <f t="shared" si="18"/>
        <v>-64893.52647619148</v>
      </c>
      <c r="O131" s="379">
        <f t="shared" si="18"/>
        <v>-66191.397005715306</v>
      </c>
      <c r="P131" s="379">
        <f t="shared" si="18"/>
        <v>-67515.224945829599</v>
      </c>
      <c r="Q131" s="379">
        <f t="shared" si="18"/>
        <v>-68865.529444746207</v>
      </c>
      <c r="R131" s="379">
        <f t="shared" si="18"/>
        <v>-70242.840033641129</v>
      </c>
      <c r="S131" s="379">
        <f t="shared" si="18"/>
        <v>-71647.69683431396</v>
      </c>
      <c r="T131" s="379">
        <f t="shared" si="18"/>
        <v>-73080.650771000219</v>
      </c>
      <c r="U131" s="379">
        <f t="shared" si="18"/>
        <v>-74542.263786420241</v>
      </c>
      <c r="V131" s="379">
        <f t="shared" si="18"/>
        <v>-76033.109062148651</v>
      </c>
      <c r="W131" s="379">
        <f t="shared" si="18"/>
        <v>-77553.771243391602</v>
      </c>
      <c r="X131" s="379">
        <f t="shared" si="18"/>
        <v>-79104.846668259444</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-54300</v>
      </c>
      <c r="F132" s="386">
        <f t="shared" ref="F132:AR132" si="19">SUM(F130:F131)</f>
        <v>-55386</v>
      </c>
      <c r="G132" s="386">
        <f t="shared" si="19"/>
        <v>-56493.72</v>
      </c>
      <c r="H132" s="386">
        <f t="shared" si="19"/>
        <v>-57623.594399999994</v>
      </c>
      <c r="I132" s="386">
        <f t="shared" si="19"/>
        <v>-58776.066288000002</v>
      </c>
      <c r="J132" s="386">
        <f t="shared" si="19"/>
        <v>-59951.587613759999</v>
      </c>
      <c r="K132" s="386">
        <f t="shared" si="19"/>
        <v>-61150.619366035207</v>
      </c>
      <c r="L132" s="386">
        <f t="shared" si="19"/>
        <v>-62373.631753355898</v>
      </c>
      <c r="M132" s="386">
        <f t="shared" si="19"/>
        <v>-63621.104388423017</v>
      </c>
      <c r="N132" s="386">
        <f t="shared" si="19"/>
        <v>-64893.52647619148</v>
      </c>
      <c r="O132" s="386">
        <f t="shared" si="19"/>
        <v>-66191.397005715306</v>
      </c>
      <c r="P132" s="386">
        <f t="shared" si="19"/>
        <v>-67515.224945829599</v>
      </c>
      <c r="Q132" s="386">
        <f t="shared" si="19"/>
        <v>-68865.529444746207</v>
      </c>
      <c r="R132" s="386">
        <f t="shared" si="19"/>
        <v>-70242.840033641129</v>
      </c>
      <c r="S132" s="386">
        <f t="shared" si="19"/>
        <v>-71647.69683431396</v>
      </c>
      <c r="T132" s="386">
        <f t="shared" si="19"/>
        <v>59251.853594719782</v>
      </c>
      <c r="U132" s="386">
        <f t="shared" si="19"/>
        <v>60436.890666614185</v>
      </c>
      <c r="V132" s="386">
        <f t="shared" si="19"/>
        <v>61645.628479946477</v>
      </c>
      <c r="W132" s="386">
        <f t="shared" si="19"/>
        <v>62878.541049545413</v>
      </c>
      <c r="X132" s="386">
        <f t="shared" si="19"/>
        <v>64136.111870536319</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-150378.66666666663</v>
      </c>
      <c r="F134" s="379">
        <f t="shared" si="20"/>
        <v>-150378.66666666663</v>
      </c>
      <c r="G134" s="379">
        <f t="shared" si="20"/>
        <v>-150378.66666666663</v>
      </c>
      <c r="H134" s="379">
        <f t="shared" si="20"/>
        <v>-150378.66666666663</v>
      </c>
      <c r="I134" s="379">
        <f t="shared" si="20"/>
        <v>-150378.66666666663</v>
      </c>
      <c r="J134" s="379">
        <f t="shared" si="20"/>
        <v>-150378.66666666663</v>
      </c>
      <c r="K134" s="379">
        <f t="shared" si="20"/>
        <v>-150378.66666666663</v>
      </c>
      <c r="L134" s="379">
        <f t="shared" si="20"/>
        <v>-150378.66666666663</v>
      </c>
      <c r="M134" s="379">
        <f t="shared" si="20"/>
        <v>-150378.66666666663</v>
      </c>
      <c r="N134" s="379">
        <f t="shared" si="20"/>
        <v>-150378.66666666663</v>
      </c>
      <c r="O134" s="379">
        <f t="shared" si="20"/>
        <v>-150378.66666666663</v>
      </c>
      <c r="P134" s="379">
        <f t="shared" si="20"/>
        <v>-150378.66666666663</v>
      </c>
      <c r="Q134" s="379">
        <f t="shared" si="20"/>
        <v>-150378.66666666663</v>
      </c>
      <c r="R134" s="379">
        <f t="shared" si="20"/>
        <v>-150378.66666666663</v>
      </c>
      <c r="S134" s="379">
        <f t="shared" si="20"/>
        <v>-150378.66666666663</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-75001.359999999986</v>
      </c>
      <c r="F135" s="379">
        <f t="shared" si="21"/>
        <v>-71459.710698441966</v>
      </c>
      <c r="G135" s="379">
        <f t="shared" si="21"/>
        <v>-67749.833055059949</v>
      </c>
      <c r="H135" s="379">
        <f t="shared" si="21"/>
        <v>-63863.736223617292</v>
      </c>
      <c r="I135" s="379">
        <f t="shared" si="21"/>
        <v>-59793.049792681115</v>
      </c>
      <c r="J135" s="379">
        <f t="shared" si="21"/>
        <v>-55529.005756275466</v>
      </c>
      <c r="K135" s="379">
        <f t="shared" si="21"/>
        <v>-51062.419628140538</v>
      </c>
      <c r="L135" s="379">
        <f t="shared" si="21"/>
        <v>-46383.670658919211</v>
      </c>
      <c r="M135" s="379">
        <f t="shared" si="21"/>
        <v>-41482.681113659884</v>
      </c>
      <c r="N135" s="379">
        <f t="shared" si="21"/>
        <v>-36348.894565000723</v>
      </c>
      <c r="O135" s="379">
        <f t="shared" si="21"/>
        <v>-30971.25315528025</v>
      </c>
      <c r="P135" s="379">
        <f t="shared" si="21"/>
        <v>-25338.173778598062</v>
      </c>
      <c r="Q135" s="379">
        <f t="shared" si="21"/>
        <v>-19437.523131523463</v>
      </c>
      <c r="R135" s="379">
        <f t="shared" si="21"/>
        <v>-13256.591578712823</v>
      </c>
      <c r="S135" s="379">
        <f t="shared" si="21"/>
        <v>-6782.0657771436781</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-74561.037927536949</v>
      </c>
      <c r="F136" s="379">
        <f t="shared" si="22"/>
        <v>-78102.687229094954</v>
      </c>
      <c r="G136" s="379">
        <f t="shared" si="22"/>
        <v>-81812.564872476971</v>
      </c>
      <c r="H136" s="379">
        <f t="shared" si="22"/>
        <v>-85698.661703919614</v>
      </c>
      <c r="I136" s="379">
        <f t="shared" si="22"/>
        <v>-89769.348134855798</v>
      </c>
      <c r="J136" s="379">
        <f t="shared" si="22"/>
        <v>-94033.392171261439</v>
      </c>
      <c r="K136" s="379">
        <f t="shared" si="22"/>
        <v>-98499.978299396374</v>
      </c>
      <c r="L136" s="379">
        <f t="shared" si="22"/>
        <v>-103178.72726861769</v>
      </c>
      <c r="M136" s="379">
        <f t="shared" si="22"/>
        <v>-108079.71681387704</v>
      </c>
      <c r="N136" s="379">
        <f t="shared" si="22"/>
        <v>-113213.5033625362</v>
      </c>
      <c r="O136" s="379">
        <f t="shared" si="22"/>
        <v>-118591.14477225668</v>
      </c>
      <c r="P136" s="379">
        <f t="shared" si="22"/>
        <v>-124224.22414893885</v>
      </c>
      <c r="Q136" s="379">
        <f t="shared" si="22"/>
        <v>-130124.87479601348</v>
      </c>
      <c r="R136" s="379">
        <f t="shared" si="22"/>
        <v>-136305.80634882412</v>
      </c>
      <c r="S136" s="379">
        <f t="shared" si="22"/>
        <v>-142780.33215039322</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-149562.39792753692</v>
      </c>
      <c r="F137" s="386">
        <f t="shared" ref="F137:AR137" si="23">SUM(F135,F136)</f>
        <v>-149562.39792753692</v>
      </c>
      <c r="G137" s="386">
        <f t="shared" si="23"/>
        <v>-149562.39792753692</v>
      </c>
      <c r="H137" s="386">
        <f t="shared" si="23"/>
        <v>-149562.39792753692</v>
      </c>
      <c r="I137" s="386">
        <f t="shared" si="23"/>
        <v>-149562.39792753692</v>
      </c>
      <c r="J137" s="386">
        <f t="shared" si="23"/>
        <v>-149562.39792753692</v>
      </c>
      <c r="K137" s="386">
        <f t="shared" si="23"/>
        <v>-149562.39792753692</v>
      </c>
      <c r="L137" s="386">
        <f t="shared" si="23"/>
        <v>-149562.39792753689</v>
      </c>
      <c r="M137" s="386">
        <f t="shared" si="23"/>
        <v>-149562.39792753692</v>
      </c>
      <c r="N137" s="386">
        <f t="shared" si="23"/>
        <v>-149562.39792753692</v>
      </c>
      <c r="O137" s="386">
        <f t="shared" si="23"/>
        <v>-149562.39792753692</v>
      </c>
      <c r="P137" s="386">
        <f t="shared" si="23"/>
        <v>-149562.39792753692</v>
      </c>
      <c r="Q137" s="386">
        <f t="shared" si="23"/>
        <v>-149562.39792753695</v>
      </c>
      <c r="R137" s="386">
        <f t="shared" si="23"/>
        <v>-149562.39792753695</v>
      </c>
      <c r="S137" s="386">
        <f t="shared" si="23"/>
        <v>-149562.39792753689</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-279680.02666666661</v>
      </c>
      <c r="F139" s="379">
        <f t="shared" ref="F139:AR139" si="24">F132+F134+F135</f>
        <v>-277224.37736510858</v>
      </c>
      <c r="G139" s="379">
        <f t="shared" si="24"/>
        <v>-274622.21972172661</v>
      </c>
      <c r="H139" s="379">
        <f t="shared" si="24"/>
        <v>-271865.99729028391</v>
      </c>
      <c r="I139" s="379">
        <f t="shared" si="24"/>
        <v>-268947.78274734772</v>
      </c>
      <c r="J139" s="379">
        <f t="shared" si="24"/>
        <v>-265859.26003670209</v>
      </c>
      <c r="K139" s="379">
        <f t="shared" si="24"/>
        <v>-262591.70566084236</v>
      </c>
      <c r="L139" s="379">
        <f t="shared" si="24"/>
        <v>-259135.96907894174</v>
      </c>
      <c r="M139" s="379">
        <f t="shared" si="24"/>
        <v>-255482.45216874953</v>
      </c>
      <c r="N139" s="379">
        <f t="shared" si="24"/>
        <v>-251621.08770785882</v>
      </c>
      <c r="O139" s="379">
        <f t="shared" si="24"/>
        <v>-247541.31682766217</v>
      </c>
      <c r="P139" s="379">
        <f t="shared" si="24"/>
        <v>-243232.06539109428</v>
      </c>
      <c r="Q139" s="379">
        <f t="shared" si="24"/>
        <v>-238681.71924293629</v>
      </c>
      <c r="R139" s="379">
        <f t="shared" si="24"/>
        <v>-233878.0982790206</v>
      </c>
      <c r="S139" s="379">
        <f t="shared" si="24"/>
        <v>-228808.42927812427</v>
      </c>
      <c r="T139" s="379">
        <f t="shared" si="24"/>
        <v>59251.853594719782</v>
      </c>
      <c r="U139" s="379">
        <f t="shared" si="24"/>
        <v>60436.890666614185</v>
      </c>
      <c r="V139" s="379">
        <f t="shared" si="24"/>
        <v>61645.628479946477</v>
      </c>
      <c r="W139" s="379">
        <f t="shared" si="24"/>
        <v>62878.541049545413</v>
      </c>
      <c r="X139" s="379">
        <f t="shared" si="24"/>
        <v>64136.111870536319</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53139.205066666655</v>
      </c>
      <c r="F140" s="379">
        <f t="shared" si="25"/>
        <v>52672.631699370628</v>
      </c>
      <c r="G140" s="379">
        <f t="shared" si="25"/>
        <v>52178.221747128053</v>
      </c>
      <c r="H140" s="379">
        <f t="shared" si="25"/>
        <v>51654.539485153946</v>
      </c>
      <c r="I140" s="379">
        <f t="shared" si="25"/>
        <v>51100.078721996069</v>
      </c>
      <c r="J140" s="379">
        <f t="shared" si="25"/>
        <v>50513.259406973397</v>
      </c>
      <c r="K140" s="379">
        <f t="shared" si="25"/>
        <v>49892.424075560048</v>
      </c>
      <c r="L140" s="379">
        <f t="shared" si="25"/>
        <v>49235.834124998932</v>
      </c>
      <c r="M140" s="379">
        <f t="shared" si="25"/>
        <v>48541.66591206241</v>
      </c>
      <c r="N140" s="379">
        <f t="shared" si="25"/>
        <v>47808.006664493179</v>
      </c>
      <c r="O140" s="379">
        <f t="shared" si="25"/>
        <v>47032.850197255815</v>
      </c>
      <c r="P140" s="379">
        <f t="shared" si="25"/>
        <v>46214.092424307913</v>
      </c>
      <c r="Q140" s="379">
        <f t="shared" si="25"/>
        <v>45349.526656157897</v>
      </c>
      <c r="R140" s="379">
        <f t="shared" si="25"/>
        <v>44436.838673013917</v>
      </c>
      <c r="S140" s="379">
        <f t="shared" si="25"/>
        <v>43473.601562843614</v>
      </c>
      <c r="T140" s="379">
        <f t="shared" si="25"/>
        <v>-11257.852182996759</v>
      </c>
      <c r="U140" s="379">
        <f t="shared" si="25"/>
        <v>-11483.009226656695</v>
      </c>
      <c r="V140" s="379">
        <f t="shared" si="25"/>
        <v>-11712.66941118983</v>
      </c>
      <c r="W140" s="379">
        <f t="shared" si="25"/>
        <v>-11946.922799413629</v>
      </c>
      <c r="X140" s="379">
        <f t="shared" si="25"/>
        <v>-12185.8612554019</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-150723.19286087027</v>
      </c>
      <c r="F142" s="386">
        <f t="shared" si="26"/>
        <v>-152275.76622816629</v>
      </c>
      <c r="G142" s="386">
        <f t="shared" si="26"/>
        <v>-153877.89618040886</v>
      </c>
      <c r="H142" s="386">
        <f t="shared" si="26"/>
        <v>-155531.45284238298</v>
      </c>
      <c r="I142" s="386">
        <f t="shared" si="26"/>
        <v>-157238.38549354085</v>
      </c>
      <c r="J142" s="386">
        <f t="shared" si="26"/>
        <v>-159000.72613432351</v>
      </c>
      <c r="K142" s="386">
        <f t="shared" si="26"/>
        <v>-160820.59321801207</v>
      </c>
      <c r="L142" s="386">
        <f t="shared" si="26"/>
        <v>-162700.19555589388</v>
      </c>
      <c r="M142" s="386">
        <f t="shared" si="26"/>
        <v>-164641.83640389756</v>
      </c>
      <c r="N142" s="386">
        <f t="shared" si="26"/>
        <v>-166647.91773923521</v>
      </c>
      <c r="O142" s="386">
        <f t="shared" si="26"/>
        <v>-168720.9447359964</v>
      </c>
      <c r="P142" s="386">
        <f t="shared" si="26"/>
        <v>-170863.5304490586</v>
      </c>
      <c r="Q142" s="386">
        <f t="shared" si="26"/>
        <v>-173078.40071612527</v>
      </c>
      <c r="R142" s="386">
        <f t="shared" si="26"/>
        <v>-175368.39928816416</v>
      </c>
      <c r="S142" s="386">
        <f t="shared" si="26"/>
        <v>-177736.49319900724</v>
      </c>
      <c r="T142" s="386">
        <f t="shared" si="26"/>
        <v>47994.001411723024</v>
      </c>
      <c r="U142" s="386">
        <f t="shared" si="26"/>
        <v>48953.881439957491</v>
      </c>
      <c r="V142" s="386">
        <f t="shared" si="26"/>
        <v>49932.959068756645</v>
      </c>
      <c r="W142" s="386">
        <f t="shared" si="26"/>
        <v>50931.618250131782</v>
      </c>
      <c r="X142" s="386">
        <f t="shared" si="26"/>
        <v>51950.250615134421</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-2255679.9999999995</v>
      </c>
      <c r="E143" s="379">
        <f>E132+E140</f>
        <v>-1160.7949333333454</v>
      </c>
      <c r="F143" s="379">
        <f t="shared" ref="F143:AR143" si="27">F132+F140</f>
        <v>-2713.3683006293722</v>
      </c>
      <c r="G143" s="379">
        <f t="shared" si="27"/>
        <v>-4315.4982528719484</v>
      </c>
      <c r="H143" s="379">
        <f t="shared" si="27"/>
        <v>-5969.0549148460486</v>
      </c>
      <c r="I143" s="379">
        <f t="shared" si="27"/>
        <v>-7675.9875660039324</v>
      </c>
      <c r="J143" s="379">
        <f t="shared" si="27"/>
        <v>-9438.3282067866021</v>
      </c>
      <c r="K143" s="379">
        <f t="shared" si="27"/>
        <v>-11258.19529047516</v>
      </c>
      <c r="L143" s="379">
        <f t="shared" si="27"/>
        <v>-13137.797628356966</v>
      </c>
      <c r="M143" s="379">
        <f t="shared" si="27"/>
        <v>-15079.438476360607</v>
      </c>
      <c r="N143" s="379">
        <f t="shared" si="27"/>
        <v>-17085.519811698301</v>
      </c>
      <c r="O143" s="379">
        <f t="shared" si="27"/>
        <v>-19158.54680845949</v>
      </c>
      <c r="P143" s="379">
        <f t="shared" si="27"/>
        <v>-21301.132521521686</v>
      </c>
      <c r="Q143" s="379">
        <f t="shared" si="27"/>
        <v>-23516.00278858831</v>
      </c>
      <c r="R143" s="379">
        <f t="shared" si="27"/>
        <v>-25806.001360627211</v>
      </c>
      <c r="S143" s="379">
        <f t="shared" si="27"/>
        <v>-28174.095271470345</v>
      </c>
      <c r="T143" s="379">
        <f t="shared" si="27"/>
        <v>47994.001411723024</v>
      </c>
      <c r="U143" s="379">
        <f t="shared" si="27"/>
        <v>48953.881439957491</v>
      </c>
      <c r="V143" s="379">
        <f t="shared" si="27"/>
        <v>49932.959068756645</v>
      </c>
      <c r="W143" s="379">
        <f t="shared" si="27"/>
        <v>50931.618250131782</v>
      </c>
      <c r="X143" s="379">
        <f t="shared" si="27"/>
        <v>51950.250615134421</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-676703.99999999988</v>
      </c>
      <c r="E144" s="379">
        <f>E142</f>
        <v>-150723.19286087027</v>
      </c>
      <c r="F144" s="379">
        <f t="shared" ref="F144:AR144" si="28">F142</f>
        <v>-152275.76622816629</v>
      </c>
      <c r="G144" s="379">
        <f t="shared" si="28"/>
        <v>-153877.89618040886</v>
      </c>
      <c r="H144" s="379">
        <f t="shared" si="28"/>
        <v>-155531.45284238298</v>
      </c>
      <c r="I144" s="379">
        <f t="shared" si="28"/>
        <v>-157238.38549354085</v>
      </c>
      <c r="J144" s="379">
        <f t="shared" si="28"/>
        <v>-159000.72613432351</v>
      </c>
      <c r="K144" s="379">
        <f t="shared" si="28"/>
        <v>-160820.59321801207</v>
      </c>
      <c r="L144" s="379">
        <f t="shared" si="28"/>
        <v>-162700.19555589388</v>
      </c>
      <c r="M144" s="379">
        <f t="shared" si="28"/>
        <v>-164641.83640389756</v>
      </c>
      <c r="N144" s="379">
        <f t="shared" si="28"/>
        <v>-166647.91773923521</v>
      </c>
      <c r="O144" s="379">
        <f t="shared" si="28"/>
        <v>-168720.9447359964</v>
      </c>
      <c r="P144" s="379">
        <f t="shared" si="28"/>
        <v>-170863.5304490586</v>
      </c>
      <c r="Q144" s="379">
        <f t="shared" si="28"/>
        <v>-173078.40071612527</v>
      </c>
      <c r="R144" s="379">
        <f t="shared" si="28"/>
        <v>-175368.39928816416</v>
      </c>
      <c r="S144" s="379">
        <f t="shared" si="28"/>
        <v>-177736.49319900724</v>
      </c>
      <c r="T144" s="379">
        <f t="shared" si="28"/>
        <v>47994.001411723024</v>
      </c>
      <c r="U144" s="379">
        <f t="shared" si="28"/>
        <v>48953.881439957491</v>
      </c>
      <c r="V144" s="379">
        <f t="shared" si="28"/>
        <v>49932.959068756645</v>
      </c>
      <c r="W144" s="379">
        <f t="shared" si="28"/>
        <v>50931.618250131782</v>
      </c>
      <c r="X144" s="379">
        <f t="shared" si="28"/>
        <v>51950.250615134421</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2250000</v>
      </c>
      <c r="F145" s="379">
        <f t="shared" si="29"/>
        <v>2250000</v>
      </c>
      <c r="G145" s="379">
        <f t="shared" si="29"/>
        <v>2250000</v>
      </c>
      <c r="H145" s="379">
        <f t="shared" si="29"/>
        <v>2250000</v>
      </c>
      <c r="I145" s="379">
        <f t="shared" si="29"/>
        <v>2250000</v>
      </c>
      <c r="J145" s="379">
        <f t="shared" si="29"/>
        <v>2250000</v>
      </c>
      <c r="K145" s="379">
        <f t="shared" si="29"/>
        <v>2250000</v>
      </c>
      <c r="L145" s="379">
        <f t="shared" si="29"/>
        <v>2250000</v>
      </c>
      <c r="M145" s="379">
        <f t="shared" si="29"/>
        <v>2250000</v>
      </c>
      <c r="N145" s="379">
        <f t="shared" si="29"/>
        <v>2250000</v>
      </c>
      <c r="O145" s="379">
        <f t="shared" si="29"/>
        <v>2250000</v>
      </c>
      <c r="P145" s="379">
        <f t="shared" si="29"/>
        <v>2250000</v>
      </c>
      <c r="Q145" s="379">
        <f t="shared" si="29"/>
        <v>2250000</v>
      </c>
      <c r="R145" s="379">
        <f t="shared" si="29"/>
        <v>2250000</v>
      </c>
      <c r="S145" s="379">
        <f t="shared" si="29"/>
        <v>2250000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2255679.9999999995</v>
      </c>
      <c r="E146" s="123">
        <f>IF(E112&lt;=$C76,D146-($C$5*E118+E132+E135),D146-(E132+E135))</f>
        <v>2107781.3599999994</v>
      </c>
      <c r="F146" s="123">
        <f t="shared" ref="F146:AR146" si="30">IF(F112&lt;=$C76,E146-($C$5*F118+F132+F135),E146-(F132+F135))</f>
        <v>1957427.0706984415</v>
      </c>
      <c r="G146" s="123">
        <f t="shared" si="30"/>
        <v>1804470.6237535013</v>
      </c>
      <c r="H146" s="123">
        <f t="shared" si="30"/>
        <v>1648757.9543771185</v>
      </c>
      <c r="I146" s="123">
        <f>IF(I112&lt;=$C76,H146-($C$5*I118+I132+I135),H146-(I132+I135))</f>
        <v>1490127.0704577996</v>
      </c>
      <c r="J146" s="123">
        <f t="shared" si="30"/>
        <v>1328407.6638278351</v>
      </c>
      <c r="K146" s="123">
        <f>IF(K112&lt;=$C76,J146-($C$5*K118+K132+K135),J146-(K132+K135))</f>
        <v>1163420.702822011</v>
      </c>
      <c r="L146" s="123">
        <f t="shared" si="30"/>
        <v>994978.00523428607</v>
      </c>
      <c r="M146" s="123">
        <f t="shared" si="30"/>
        <v>822881.79073636897</v>
      </c>
      <c r="N146" s="123">
        <f t="shared" si="30"/>
        <v>646924.21177756111</v>
      </c>
      <c r="O146" s="123">
        <f t="shared" si="30"/>
        <v>466886.86193855666</v>
      </c>
      <c r="P146" s="123">
        <f t="shared" si="30"/>
        <v>282540.26066298434</v>
      </c>
      <c r="Q146" s="123">
        <f t="shared" si="30"/>
        <v>93643.313239253999</v>
      </c>
      <c r="R146" s="123">
        <f t="shared" si="30"/>
        <v>-100057.25514839203</v>
      </c>
      <c r="S146" s="123">
        <f t="shared" si="30"/>
        <v>-298827.49253693438</v>
      </c>
      <c r="T146" s="123">
        <f t="shared" si="30"/>
        <v>-358079.34613165417</v>
      </c>
      <c r="U146" s="123">
        <f t="shared" si="30"/>
        <v>-418516.23679826834</v>
      </c>
      <c r="V146" s="123">
        <f t="shared" si="30"/>
        <v>-480161.8652782148</v>
      </c>
      <c r="W146" s="123">
        <f t="shared" si="30"/>
        <v>-543040.4063277602</v>
      </c>
      <c r="X146" s="123">
        <f t="shared" si="30"/>
        <v>-607176.51819829654</v>
      </c>
      <c r="Y146" s="123">
        <f t="shared" si="30"/>
        <v>-607176.51819829654</v>
      </c>
      <c r="Z146" s="123">
        <f t="shared" si="30"/>
        <v>-607176.51819829654</v>
      </c>
      <c r="AA146" s="123">
        <f>IF(AA112&lt;=$C76,Z146-($C$5*AA118+AA132+AA135),Z146-(AA132+AA135))</f>
        <v>-607176.51819829654</v>
      </c>
      <c r="AB146" s="123">
        <f t="shared" si="30"/>
        <v>-607176.51819829654</v>
      </c>
      <c r="AC146" s="123">
        <f t="shared" si="30"/>
        <v>-607176.51819829654</v>
      </c>
      <c r="AD146" s="123">
        <f t="shared" si="30"/>
        <v>-607176.51819829654</v>
      </c>
      <c r="AE146" s="123">
        <f>IF(AE112&lt;=$C76,AD146-($C$5*AE118+AE132+AE135),AD146-(AE132+AE135))</f>
        <v>-607176.51819829654</v>
      </c>
      <c r="AF146" s="123">
        <f t="shared" si="30"/>
        <v>-607176.51819829654</v>
      </c>
      <c r="AG146" s="123">
        <f>IF(AG112&lt;=$C76,AF146-($C$5*AG118+AG132+AG135),AF146-(AG132+AG135))</f>
        <v>-607176.51819829654</v>
      </c>
      <c r="AH146" s="123">
        <f t="shared" si="30"/>
        <v>-607176.51819829654</v>
      </c>
      <c r="AI146" s="123">
        <f t="shared" si="30"/>
        <v>-607176.51819829654</v>
      </c>
      <c r="AJ146" s="123">
        <f t="shared" si="30"/>
        <v>-607176.51819829654</v>
      </c>
      <c r="AK146" s="123">
        <f t="shared" si="30"/>
        <v>-607176.51819829654</v>
      </c>
      <c r="AL146" s="123">
        <f t="shared" si="30"/>
        <v>-607176.51819829654</v>
      </c>
      <c r="AM146" s="123">
        <f t="shared" si="30"/>
        <v>-607176.51819829654</v>
      </c>
      <c r="AN146" s="123">
        <f t="shared" si="30"/>
        <v>-607176.51819829654</v>
      </c>
      <c r="AO146" s="123">
        <f t="shared" si="30"/>
        <v>-607176.51819829654</v>
      </c>
      <c r="AP146" s="123">
        <f t="shared" si="30"/>
        <v>-607176.51819829654</v>
      </c>
      <c r="AQ146" s="123">
        <f t="shared" si="30"/>
        <v>-607176.51819829654</v>
      </c>
      <c r="AR146" s="387">
        <f t="shared" si="30"/>
        <v>-607176.51819829654</v>
      </c>
    </row>
    <row r="147" spans="1:44" ht="13" thickBot="1" x14ac:dyDescent="0.3">
      <c r="B147" s="124" t="s">
        <v>473</v>
      </c>
      <c r="C147" s="125"/>
      <c r="D147" s="125"/>
      <c r="E147" s="126">
        <f t="shared" ref="E147:AR147" si="31">IF(E112&gt;$C$74,"",(-$C$94*(E139+$C$5*E118)+E132+$C$5*E118)/-E137)</f>
        <v>1.4934984204712347</v>
      </c>
      <c r="F147" s="126">
        <f t="shared" si="31"/>
        <v>1.4831176470361347</v>
      </c>
      <c r="G147" s="126">
        <f t="shared" si="31"/>
        <v>1.4724055297229395</v>
      </c>
      <c r="H147" s="126">
        <f t="shared" si="31"/>
        <v>1.4613495645546406</v>
      </c>
      <c r="I147" s="126">
        <f t="shared" si="31"/>
        <v>1.4499367183124663</v>
      </c>
      <c r="J147" s="126">
        <f t="shared" si="31"/>
        <v>1.4381534046908397</v>
      </c>
      <c r="K147" s="126">
        <f t="shared" si="31"/>
        <v>1.4259854593455779</v>
      </c>
      <c r="L147" s="126">
        <f t="shared" si="31"/>
        <v>1.4134181137832766</v>
      </c>
      <c r="M147" s="126">
        <f t="shared" si="31"/>
        <v>1.4004359680373626</v>
      </c>
      <c r="N147" s="126">
        <f t="shared" si="31"/>
        <v>1.3870229620737269</v>
      </c>
      <c r="O147" s="126">
        <f t="shared" si="31"/>
        <v>1.373162345866132</v>
      </c>
      <c r="P147" s="126">
        <f t="shared" si="31"/>
        <v>1.3588366480787757</v>
      </c>
      <c r="Q147" s="126">
        <f t="shared" si="31"/>
        <v>1.3440276432904212</v>
      </c>
      <c r="R147" s="126">
        <f t="shared" si="31"/>
        <v>1.3287163176914001</v>
      </c>
      <c r="S147" s="126">
        <f t="shared" si="31"/>
        <v>1.312882833181541</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-1433977.3877235807</v>
      </c>
      <c r="D150" s="57" t="s">
        <v>476</v>
      </c>
    </row>
    <row r="151" spans="1:44" x14ac:dyDescent="0.25">
      <c r="B151" s="26" t="s">
        <v>477</v>
      </c>
      <c r="C151" s="153">
        <f>(1-$C$94)*NPV($C$91,E145:AR145)</f>
        <v>17136363.987754822</v>
      </c>
      <c r="D151" s="58" t="str">
        <f>$C$7</f>
        <v>kWh</v>
      </c>
      <c r="F151" s="59"/>
    </row>
    <row r="152" spans="1:44" x14ac:dyDescent="0.25">
      <c r="B152" s="26" t="s">
        <v>478</v>
      </c>
      <c r="C152" s="153">
        <f>$C$41*1000000</f>
        <v>2255679.9999999995</v>
      </c>
      <c r="D152" s="57" t="s">
        <v>424</v>
      </c>
      <c r="F152" s="60"/>
    </row>
    <row r="153" spans="1:44" x14ac:dyDescent="0.25">
      <c r="B153" s="26" t="s">
        <v>479</v>
      </c>
      <c r="C153" s="154">
        <f>AVERAGE(E147:AR147)</f>
        <v>1.409529971742431</v>
      </c>
      <c r="D153" s="57"/>
      <c r="F153" s="60"/>
    </row>
    <row r="154" spans="1:44" x14ac:dyDescent="0.25">
      <c r="B154" s="26" t="s">
        <v>480</v>
      </c>
      <c r="C154" s="155" t="str">
        <f>CONCATENATE(ROUND(((1-$C$94)*$C$90*$C$92+$C$93*$C$91)*100,1),"% / ",ROUND((((1+(1-$C$94)*$C$90*$C$92+$C$93*$C$91)/(1+$C$89))-1)*100,1),"%")</f>
        <v>4.6% / 2.6%</v>
      </c>
      <c r="D154" s="57"/>
      <c r="F154" s="59"/>
      <c r="G154" s="61"/>
    </row>
    <row r="155" spans="1:44" x14ac:dyDescent="0.25">
      <c r="B155" s="26" t="s">
        <v>481</v>
      </c>
      <c r="C155" s="156">
        <f>IFERROR(IRR(D143:AR143),"n.v.t.")</f>
        <v>-0.13225103174780273</v>
      </c>
      <c r="D155" s="57"/>
      <c r="F155" s="60"/>
      <c r="G155" s="61"/>
    </row>
    <row r="156" spans="1:44" x14ac:dyDescent="0.25">
      <c r="B156" s="26" t="s">
        <v>482</v>
      </c>
      <c r="C156" s="156" t="str">
        <f>IFERROR(IRR(D144:AR144),"n.v.t.")</f>
        <v>n.v.t.</v>
      </c>
      <c r="D156" s="57"/>
      <c r="G156" s="61"/>
    </row>
    <row r="157" spans="1:44" x14ac:dyDescent="0.25">
      <c r="B157" s="38" t="s">
        <v>483</v>
      </c>
      <c r="C157" s="153">
        <f>$C$92*C152-C97</f>
        <v>1578975.9999999995</v>
      </c>
      <c r="D157" s="57" t="s">
        <v>424</v>
      </c>
      <c r="F157" s="35"/>
    </row>
    <row r="158" spans="1:44" x14ac:dyDescent="0.25">
      <c r="B158" s="38" t="s">
        <v>484</v>
      </c>
      <c r="C158" s="153">
        <f>$C$93*C152-C98</f>
        <v>676703.99999999988</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2250</v>
      </c>
      <c r="D160" s="57" t="s">
        <v>340</v>
      </c>
      <c r="F160" s="35"/>
    </row>
    <row r="161" spans="2:44" x14ac:dyDescent="0.25">
      <c r="B161" s="43" t="s">
        <v>487</v>
      </c>
      <c r="C161" s="461" t="str">
        <f>CONCATENATE( "tussen ", INDEX(D112:X112, MATCH(0,D146:X146, -1)), " en ",  1 + INDEX(D112:X112, MATCH(0,D146:X146, -1)), " jaar")</f>
        <v>tussen 13 en 14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38" priority="3" operator="containsText" text="Pas op">
      <formula>NOT(ISERROR(SEARCH("Pas op",G1)))</formula>
    </cfRule>
  </conditionalFormatting>
  <conditionalFormatting sqref="G105">
    <cfRule type="containsText" dxfId="37" priority="1" operator="containsText" text="Pas op">
      <formula>NOT(ISERROR(SEARCH("Pas op",G105)))</formula>
    </cfRule>
  </conditionalFormatting>
  <conditionalFormatting sqref="G184:G1048576">
    <cfRule type="containsText" dxfId="36" priority="2" operator="containsText" text="Pas op">
      <formula>NOT(ISERROR(SEARCH("Pas op",G184)))</formula>
    </cfRule>
  </conditionalFormatting>
  <dataValidations count="3">
    <dataValidation type="list" allowBlank="1" showInputMessage="1" showErrorMessage="1" sqref="C14" xr:uid="{362A4717-56FB-42CA-816D-08B27385B88B}">
      <formula1>"Nee,Ja,Geen warmte"</formula1>
    </dataValidation>
    <dataValidation type="list" allowBlank="1" showInputMessage="1" showErrorMessage="1" sqref="C7" xr:uid="{82D879A4-D5A2-462A-A07F-F3F34B5A530B}">
      <formula1>"t CO2,kWh"</formula1>
    </dataValidation>
    <dataValidation type="list" allowBlank="1" showInputMessage="1" showErrorMessage="1" sqref="C37361 C102897 C168433 C233969 C299505 C365041 C430577 C496113 C561649 C627185 C692721 C758257 C823793 C889329 C954865" xr:uid="{8EC2DE33-6C6D-43DC-9503-E3EB0CB62045}">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CEB27EB-6ACF-494E-A00E-FE01D8FC1227}">
          <x14:formula1>
            <xm:f>Correcties!$A$8:$A$8</xm:f>
          </x14:formula1>
          <xm:sqref>C15</xm:sqref>
        </x14:dataValidation>
        <x14:dataValidation type="list" allowBlank="1" showInputMessage="1" showErrorMessage="1" xr:uid="{75EA4B9A-90AB-49AA-8DBD-60C35C0619AE}">
          <x14:formula1>
            <xm:f>Correcties!$A$27:$A$38</xm:f>
          </x14:formula1>
          <xm:sqref>C13</xm:sqref>
        </x14:dataValidation>
        <x14:dataValidation type="list" allowBlank="1" showInputMessage="1" showErrorMessage="1" xr:uid="{8F3B09B1-B6F2-4DD8-A412-136610CD7A97}">
          <x14:formula1>
            <xm:f>Colofon!$B$34:$B$39</xm:f>
          </x14:formula1>
          <xm:sqref>C9</xm:sqref>
        </x14:dataValidation>
        <x14:dataValidation type="list" allowBlank="1" showInputMessage="1" showErrorMessage="1" xr:uid="{7AA5E5F4-8256-4E68-B812-80483ADA4261}">
          <x14:formula1>
            <xm:f>Correcties!$A$10:$A$10</xm:f>
          </x14:formula1>
          <xm:sqref>C16</xm:sqref>
        </x14:dataValidation>
        <x14:dataValidation type="list" allowBlank="1" showInputMessage="1" showErrorMessage="1" xr:uid="{99F2EF81-F009-42E6-A0D0-C82D9170E281}">
          <x14:formula1>
            <xm:f>Correcties!$A$4:$A$10</xm:f>
          </x14:formula1>
          <xm:sqref>C12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C7A70-BC22-40F7-9F11-65EC311E82BB}">
  <sheetPr codeName="Sheet99">
    <tabColor theme="5" tint="0.59999389629810485"/>
    <pageSetUpPr fitToPage="1"/>
  </sheetPr>
  <dimension ref="A1:AR198"/>
  <sheetViews>
    <sheetView showGridLines="0" topLeftCell="AB110"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514</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0.13270000000000001</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770.35681610247048</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IFERROR(INDEX(Correcties!$A$1:$I$301,MATCH('10'!C12,Correcties!$A$1:$A$301,0),5),"")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1000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2070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2240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2.2556799999999995</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13.8</v>
      </c>
      <c r="D43" s="99" t="str">
        <f>CONCATENATE("Euro/",$C$8,"/jaar")</f>
        <v>Euro/kW/jaar</v>
      </c>
      <c r="E43" s="447" t="s">
        <v>357</v>
      </c>
      <c r="F43" s="447"/>
      <c r="G43" s="447"/>
      <c r="H43" s="447"/>
      <c r="I43" s="447"/>
      <c r="J43" s="447"/>
      <c r="K43" s="447"/>
      <c r="L43" s="447"/>
      <c r="M43" s="448"/>
    </row>
    <row r="44" spans="2:13" x14ac:dyDescent="0.25">
      <c r="B44" s="96" t="s">
        <v>359</v>
      </c>
      <c r="C44" s="348">
        <f>(C42*C21+C43*SUM(C26,C28))/1000</f>
        <v>13.8</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1.7999999999999999E-2</v>
      </c>
      <c r="D48" s="99" t="str">
        <f>CONCATENATE("Euro/",$C$7)</f>
        <v>Euro/kWh</v>
      </c>
      <c r="E48" s="447"/>
      <c r="F48" s="447"/>
      <c r="G48" s="447"/>
      <c r="H48" s="447"/>
      <c r="I48" s="447"/>
      <c r="J48" s="447"/>
      <c r="K48" s="447"/>
      <c r="L48" s="447"/>
      <c r="M48" s="448"/>
    </row>
    <row r="49" spans="2:13" x14ac:dyDescent="0.25">
      <c r="B49" s="97" t="s">
        <v>366</v>
      </c>
      <c r="C49" s="142">
        <f>SUM(C45:C48)</f>
        <v>1.7999999999999999E-2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2070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31050000</v>
      </c>
      <c r="D84" s="98" t="str">
        <f>C7</f>
        <v>kWh</v>
      </c>
      <c r="E84" s="447"/>
      <c r="F84" s="447"/>
      <c r="G84" s="447"/>
      <c r="H84" s="447"/>
      <c r="I84" s="447"/>
      <c r="J84" s="447"/>
      <c r="K84" s="447"/>
      <c r="L84" s="447"/>
      <c r="M84" s="448"/>
    </row>
    <row r="85" spans="2:13" x14ac:dyDescent="0.25">
      <c r="B85" s="113" t="s">
        <v>413</v>
      </c>
      <c r="C85" s="145">
        <f>IF(C77=0,SUM(E118:INDEX(E118:AR118,1,C73)),SUM(E118:INDEX(E118:AR118,1,C77)))</f>
        <v>41400000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4.7500000000000001E-2</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-2255679.9999999995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2070000</v>
      </c>
      <c r="F115" s="379">
        <f t="shared" si="4"/>
        <v>2070000</v>
      </c>
      <c r="G115" s="379">
        <f t="shared" si="4"/>
        <v>2070000</v>
      </c>
      <c r="H115" s="379">
        <f t="shared" si="4"/>
        <v>2070000</v>
      </c>
      <c r="I115" s="379">
        <f t="shared" si="4"/>
        <v>2070000</v>
      </c>
      <c r="J115" s="379">
        <f t="shared" si="4"/>
        <v>2070000</v>
      </c>
      <c r="K115" s="379">
        <f t="shared" si="4"/>
        <v>2070000</v>
      </c>
      <c r="L115" s="379">
        <f t="shared" si="4"/>
        <v>2070000</v>
      </c>
      <c r="M115" s="379">
        <f t="shared" si="4"/>
        <v>2070000</v>
      </c>
      <c r="N115" s="379">
        <f t="shared" si="4"/>
        <v>2070000</v>
      </c>
      <c r="O115" s="379">
        <f t="shared" si="4"/>
        <v>2070000</v>
      </c>
      <c r="P115" s="379">
        <f t="shared" si="4"/>
        <v>2070000</v>
      </c>
      <c r="Q115" s="379">
        <f t="shared" si="4"/>
        <v>2070000</v>
      </c>
      <c r="R115" s="379">
        <f t="shared" si="4"/>
        <v>2070000</v>
      </c>
      <c r="S115" s="379">
        <f t="shared" si="4"/>
        <v>2070000</v>
      </c>
      <c r="T115" s="379">
        <f t="shared" si="4"/>
        <v>2070000</v>
      </c>
      <c r="U115" s="379">
        <f t="shared" si="4"/>
        <v>2070000</v>
      </c>
      <c r="V115" s="379">
        <f t="shared" si="4"/>
        <v>2070000</v>
      </c>
      <c r="W115" s="379">
        <f t="shared" si="4"/>
        <v>2070000</v>
      </c>
      <c r="X115" s="379">
        <f t="shared" si="4"/>
        <v>2070000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2070000</v>
      </c>
      <c r="F118" s="150">
        <f t="shared" ref="F118:AR118" si="7">SUM(F115:F117)</f>
        <v>2070000</v>
      </c>
      <c r="G118" s="150">
        <f t="shared" si="7"/>
        <v>2070000</v>
      </c>
      <c r="H118" s="150">
        <f t="shared" si="7"/>
        <v>2070000</v>
      </c>
      <c r="I118" s="150">
        <f t="shared" si="7"/>
        <v>2070000</v>
      </c>
      <c r="J118" s="150">
        <f t="shared" si="7"/>
        <v>2070000</v>
      </c>
      <c r="K118" s="150">
        <f t="shared" si="7"/>
        <v>2070000</v>
      </c>
      <c r="L118" s="150">
        <f t="shared" si="7"/>
        <v>2070000</v>
      </c>
      <c r="M118" s="150">
        <f t="shared" si="7"/>
        <v>2070000</v>
      </c>
      <c r="N118" s="150">
        <f t="shared" si="7"/>
        <v>2070000</v>
      </c>
      <c r="O118" s="150">
        <f t="shared" si="7"/>
        <v>2070000</v>
      </c>
      <c r="P118" s="150">
        <f t="shared" si="7"/>
        <v>2070000</v>
      </c>
      <c r="Q118" s="150">
        <f t="shared" si="7"/>
        <v>2070000</v>
      </c>
      <c r="R118" s="150">
        <f t="shared" si="7"/>
        <v>2070000</v>
      </c>
      <c r="S118" s="150">
        <f t="shared" si="7"/>
        <v>2070000</v>
      </c>
      <c r="T118" s="150">
        <f t="shared" si="7"/>
        <v>2070000</v>
      </c>
      <c r="U118" s="150">
        <f t="shared" si="7"/>
        <v>2070000</v>
      </c>
      <c r="V118" s="150">
        <f t="shared" si="7"/>
        <v>2070000</v>
      </c>
      <c r="W118" s="150">
        <f t="shared" si="7"/>
        <v>2070000</v>
      </c>
      <c r="X118" s="150">
        <f t="shared" si="7"/>
        <v>2070000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-51060</v>
      </c>
      <c r="F120" s="379">
        <f t="shared" ref="F120:AR120" si="8">IF(F112&gt;$C$73,0,-F109*(($C$42*$C$21+$C$43*SUM($C$26,$C$28))+F118*$C$49))+IF($C$101=F112,$D$101*F109,0)+IF($C$102=F112,$D$102*F109,0)+IF($C$103=F112,$D$103*F109,0)</f>
        <v>-52081.200000000004</v>
      </c>
      <c r="G120" s="379">
        <f t="shared" si="8"/>
        <v>-53122.824000000001</v>
      </c>
      <c r="H120" s="379">
        <f t="shared" si="8"/>
        <v>-54185.280479999994</v>
      </c>
      <c r="I120" s="379">
        <f t="shared" si="8"/>
        <v>-55268.986089599995</v>
      </c>
      <c r="J120" s="379">
        <f t="shared" si="8"/>
        <v>-56374.365811392003</v>
      </c>
      <c r="K120" s="379">
        <f t="shared" si="8"/>
        <v>-57501.853127619841</v>
      </c>
      <c r="L120" s="379">
        <f t="shared" si="8"/>
        <v>-58651.890190172227</v>
      </c>
      <c r="M120" s="379">
        <f t="shared" si="8"/>
        <v>-59824.927993975674</v>
      </c>
      <c r="N120" s="379">
        <f t="shared" si="8"/>
        <v>-61021.426553855192</v>
      </c>
      <c r="O120" s="379">
        <f t="shared" si="8"/>
        <v>-62241.8550849323</v>
      </c>
      <c r="P120" s="379">
        <f t="shared" si="8"/>
        <v>-63486.692186630935</v>
      </c>
      <c r="Q120" s="379">
        <f t="shared" si="8"/>
        <v>-64756.42603036356</v>
      </c>
      <c r="R120" s="379">
        <f t="shared" si="8"/>
        <v>-66051.554550970832</v>
      </c>
      <c r="S120" s="379">
        <f t="shared" si="8"/>
        <v>-67372.585641990256</v>
      </c>
      <c r="T120" s="379">
        <f t="shared" si="8"/>
        <v>-68720.037354830041</v>
      </c>
      <c r="U120" s="379">
        <f t="shared" si="8"/>
        <v>-70094.438101926644</v>
      </c>
      <c r="V120" s="379">
        <f t="shared" si="8"/>
        <v>-71496.326863965194</v>
      </c>
      <c r="W120" s="379">
        <f t="shared" si="8"/>
        <v>-72926.253401244481</v>
      </c>
      <c r="X120" s="379">
        <f t="shared" si="8"/>
        <v>-74384.778469269368</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121745.9040164624</v>
      </c>
      <c r="U127" s="379">
        <f t="shared" si="15"/>
        <v>124180.82209679169</v>
      </c>
      <c r="V127" s="379">
        <f t="shared" si="15"/>
        <v>126664.43853872753</v>
      </c>
      <c r="W127" s="379">
        <f t="shared" si="15"/>
        <v>129197.72730950205</v>
      </c>
      <c r="X127" s="379">
        <f t="shared" si="15"/>
        <v>131781.68185569209</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121745.9040164624</v>
      </c>
      <c r="U130" s="379">
        <f t="shared" si="17"/>
        <v>124180.82209679169</v>
      </c>
      <c r="V130" s="379">
        <f t="shared" si="17"/>
        <v>126664.43853872753</v>
      </c>
      <c r="W130" s="379">
        <f t="shared" si="17"/>
        <v>129197.72730950205</v>
      </c>
      <c r="X130" s="379">
        <f t="shared" si="17"/>
        <v>131781.68185569209</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-51060</v>
      </c>
      <c r="F131" s="379">
        <f t="shared" si="18"/>
        <v>-52081.200000000004</v>
      </c>
      <c r="G131" s="379">
        <f t="shared" si="18"/>
        <v>-53122.824000000001</v>
      </c>
      <c r="H131" s="379">
        <f t="shared" si="18"/>
        <v>-54185.280479999994</v>
      </c>
      <c r="I131" s="379">
        <f t="shared" si="18"/>
        <v>-55268.986089599995</v>
      </c>
      <c r="J131" s="379">
        <f t="shared" si="18"/>
        <v>-56374.365811392003</v>
      </c>
      <c r="K131" s="379">
        <f t="shared" si="18"/>
        <v>-57501.853127619841</v>
      </c>
      <c r="L131" s="379">
        <f t="shared" si="18"/>
        <v>-58651.890190172227</v>
      </c>
      <c r="M131" s="379">
        <f t="shared" si="18"/>
        <v>-59824.927993975674</v>
      </c>
      <c r="N131" s="379">
        <f t="shared" si="18"/>
        <v>-61021.426553855192</v>
      </c>
      <c r="O131" s="379">
        <f t="shared" si="18"/>
        <v>-62241.8550849323</v>
      </c>
      <c r="P131" s="379">
        <f t="shared" si="18"/>
        <v>-63486.692186630935</v>
      </c>
      <c r="Q131" s="379">
        <f t="shared" si="18"/>
        <v>-64756.42603036356</v>
      </c>
      <c r="R131" s="379">
        <f t="shared" si="18"/>
        <v>-66051.554550970832</v>
      </c>
      <c r="S131" s="379">
        <f t="shared" si="18"/>
        <v>-67372.585641990256</v>
      </c>
      <c r="T131" s="379">
        <f t="shared" si="18"/>
        <v>-68720.037354830041</v>
      </c>
      <c r="U131" s="379">
        <f t="shared" si="18"/>
        <v>-70094.438101926644</v>
      </c>
      <c r="V131" s="379">
        <f t="shared" si="18"/>
        <v>-71496.326863965194</v>
      </c>
      <c r="W131" s="379">
        <f t="shared" si="18"/>
        <v>-72926.253401244481</v>
      </c>
      <c r="X131" s="379">
        <f t="shared" si="18"/>
        <v>-74384.778469269368</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-51060</v>
      </c>
      <c r="F132" s="386">
        <f t="shared" ref="F132:AR132" si="19">SUM(F130:F131)</f>
        <v>-52081.200000000004</v>
      </c>
      <c r="G132" s="386">
        <f t="shared" si="19"/>
        <v>-53122.824000000001</v>
      </c>
      <c r="H132" s="386">
        <f t="shared" si="19"/>
        <v>-54185.280479999994</v>
      </c>
      <c r="I132" s="386">
        <f t="shared" si="19"/>
        <v>-55268.986089599995</v>
      </c>
      <c r="J132" s="386">
        <f t="shared" si="19"/>
        <v>-56374.365811392003</v>
      </c>
      <c r="K132" s="386">
        <f t="shared" si="19"/>
        <v>-57501.853127619841</v>
      </c>
      <c r="L132" s="386">
        <f t="shared" si="19"/>
        <v>-58651.890190172227</v>
      </c>
      <c r="M132" s="386">
        <f t="shared" si="19"/>
        <v>-59824.927993975674</v>
      </c>
      <c r="N132" s="386">
        <f t="shared" si="19"/>
        <v>-61021.426553855192</v>
      </c>
      <c r="O132" s="386">
        <f t="shared" si="19"/>
        <v>-62241.8550849323</v>
      </c>
      <c r="P132" s="386">
        <f t="shared" si="19"/>
        <v>-63486.692186630935</v>
      </c>
      <c r="Q132" s="386">
        <f t="shared" si="19"/>
        <v>-64756.42603036356</v>
      </c>
      <c r="R132" s="386">
        <f t="shared" si="19"/>
        <v>-66051.554550970832</v>
      </c>
      <c r="S132" s="386">
        <f t="shared" si="19"/>
        <v>-67372.585641990256</v>
      </c>
      <c r="T132" s="386">
        <f t="shared" si="19"/>
        <v>53025.866661632361</v>
      </c>
      <c r="U132" s="386">
        <f t="shared" si="19"/>
        <v>54086.383994865042</v>
      </c>
      <c r="V132" s="386">
        <f t="shared" si="19"/>
        <v>55168.111674762331</v>
      </c>
      <c r="W132" s="386">
        <f t="shared" si="19"/>
        <v>56271.473908257569</v>
      </c>
      <c r="X132" s="386">
        <f t="shared" si="19"/>
        <v>57396.903386422724</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-150378.66666666663</v>
      </c>
      <c r="F134" s="379">
        <f t="shared" si="20"/>
        <v>-150378.66666666663</v>
      </c>
      <c r="G134" s="379">
        <f t="shared" si="20"/>
        <v>-150378.66666666663</v>
      </c>
      <c r="H134" s="379">
        <f t="shared" si="20"/>
        <v>-150378.66666666663</v>
      </c>
      <c r="I134" s="379">
        <f t="shared" si="20"/>
        <v>-150378.66666666663</v>
      </c>
      <c r="J134" s="379">
        <f t="shared" si="20"/>
        <v>-150378.66666666663</v>
      </c>
      <c r="K134" s="379">
        <f t="shared" si="20"/>
        <v>-150378.66666666663</v>
      </c>
      <c r="L134" s="379">
        <f t="shared" si="20"/>
        <v>-150378.66666666663</v>
      </c>
      <c r="M134" s="379">
        <f t="shared" si="20"/>
        <v>-150378.66666666663</v>
      </c>
      <c r="N134" s="379">
        <f t="shared" si="20"/>
        <v>-150378.66666666663</v>
      </c>
      <c r="O134" s="379">
        <f t="shared" si="20"/>
        <v>-150378.66666666663</v>
      </c>
      <c r="P134" s="379">
        <f t="shared" si="20"/>
        <v>-150378.66666666663</v>
      </c>
      <c r="Q134" s="379">
        <f t="shared" si="20"/>
        <v>-150378.66666666663</v>
      </c>
      <c r="R134" s="379">
        <f t="shared" si="20"/>
        <v>-150378.66666666663</v>
      </c>
      <c r="S134" s="379">
        <f t="shared" si="20"/>
        <v>-150378.66666666663</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-75001.359999999986</v>
      </c>
      <c r="F135" s="379">
        <f t="shared" si="21"/>
        <v>-71459.710698441966</v>
      </c>
      <c r="G135" s="379">
        <f t="shared" si="21"/>
        <v>-67749.833055059949</v>
      </c>
      <c r="H135" s="379">
        <f t="shared" si="21"/>
        <v>-63863.736223617292</v>
      </c>
      <c r="I135" s="379">
        <f t="shared" si="21"/>
        <v>-59793.049792681115</v>
      </c>
      <c r="J135" s="379">
        <f t="shared" si="21"/>
        <v>-55529.005756275466</v>
      </c>
      <c r="K135" s="379">
        <f t="shared" si="21"/>
        <v>-51062.419628140538</v>
      </c>
      <c r="L135" s="379">
        <f t="shared" si="21"/>
        <v>-46383.670658919211</v>
      </c>
      <c r="M135" s="379">
        <f t="shared" si="21"/>
        <v>-41482.681113659884</v>
      </c>
      <c r="N135" s="379">
        <f t="shared" si="21"/>
        <v>-36348.894565000723</v>
      </c>
      <c r="O135" s="379">
        <f t="shared" si="21"/>
        <v>-30971.25315528025</v>
      </c>
      <c r="P135" s="379">
        <f t="shared" si="21"/>
        <v>-25338.173778598062</v>
      </c>
      <c r="Q135" s="379">
        <f t="shared" si="21"/>
        <v>-19437.523131523463</v>
      </c>
      <c r="R135" s="379">
        <f t="shared" si="21"/>
        <v>-13256.591578712823</v>
      </c>
      <c r="S135" s="379">
        <f t="shared" si="21"/>
        <v>-6782.0657771436781</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-74561.037927536949</v>
      </c>
      <c r="F136" s="379">
        <f t="shared" si="22"/>
        <v>-78102.687229094954</v>
      </c>
      <c r="G136" s="379">
        <f t="shared" si="22"/>
        <v>-81812.564872476971</v>
      </c>
      <c r="H136" s="379">
        <f t="shared" si="22"/>
        <v>-85698.661703919614</v>
      </c>
      <c r="I136" s="379">
        <f t="shared" si="22"/>
        <v>-89769.348134855798</v>
      </c>
      <c r="J136" s="379">
        <f t="shared" si="22"/>
        <v>-94033.392171261439</v>
      </c>
      <c r="K136" s="379">
        <f t="shared" si="22"/>
        <v>-98499.978299396374</v>
      </c>
      <c r="L136" s="379">
        <f t="shared" si="22"/>
        <v>-103178.72726861769</v>
      </c>
      <c r="M136" s="379">
        <f t="shared" si="22"/>
        <v>-108079.71681387704</v>
      </c>
      <c r="N136" s="379">
        <f t="shared" si="22"/>
        <v>-113213.5033625362</v>
      </c>
      <c r="O136" s="379">
        <f t="shared" si="22"/>
        <v>-118591.14477225668</v>
      </c>
      <c r="P136" s="379">
        <f t="shared" si="22"/>
        <v>-124224.22414893885</v>
      </c>
      <c r="Q136" s="379">
        <f t="shared" si="22"/>
        <v>-130124.87479601348</v>
      </c>
      <c r="R136" s="379">
        <f t="shared" si="22"/>
        <v>-136305.80634882412</v>
      </c>
      <c r="S136" s="379">
        <f t="shared" si="22"/>
        <v>-142780.33215039322</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-149562.39792753692</v>
      </c>
      <c r="F137" s="386">
        <f t="shared" ref="F137:AR137" si="23">SUM(F135,F136)</f>
        <v>-149562.39792753692</v>
      </c>
      <c r="G137" s="386">
        <f t="shared" si="23"/>
        <v>-149562.39792753692</v>
      </c>
      <c r="H137" s="386">
        <f t="shared" si="23"/>
        <v>-149562.39792753692</v>
      </c>
      <c r="I137" s="386">
        <f t="shared" si="23"/>
        <v>-149562.39792753692</v>
      </c>
      <c r="J137" s="386">
        <f t="shared" si="23"/>
        <v>-149562.39792753692</v>
      </c>
      <c r="K137" s="386">
        <f t="shared" si="23"/>
        <v>-149562.39792753692</v>
      </c>
      <c r="L137" s="386">
        <f t="shared" si="23"/>
        <v>-149562.39792753689</v>
      </c>
      <c r="M137" s="386">
        <f t="shared" si="23"/>
        <v>-149562.39792753692</v>
      </c>
      <c r="N137" s="386">
        <f t="shared" si="23"/>
        <v>-149562.39792753692</v>
      </c>
      <c r="O137" s="386">
        <f t="shared" si="23"/>
        <v>-149562.39792753692</v>
      </c>
      <c r="P137" s="386">
        <f t="shared" si="23"/>
        <v>-149562.39792753692</v>
      </c>
      <c r="Q137" s="386">
        <f t="shared" si="23"/>
        <v>-149562.39792753695</v>
      </c>
      <c r="R137" s="386">
        <f t="shared" si="23"/>
        <v>-149562.39792753695</v>
      </c>
      <c r="S137" s="386">
        <f t="shared" si="23"/>
        <v>-149562.39792753689</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-276440.02666666661</v>
      </c>
      <c r="F139" s="379">
        <f t="shared" ref="F139:AR139" si="24">F132+F134+F135</f>
        <v>-273919.57736510859</v>
      </c>
      <c r="G139" s="379">
        <f t="shared" si="24"/>
        <v>-271251.32372172654</v>
      </c>
      <c r="H139" s="379">
        <f t="shared" si="24"/>
        <v>-268427.68337028392</v>
      </c>
      <c r="I139" s="379">
        <f t="shared" si="24"/>
        <v>-265440.70254894771</v>
      </c>
      <c r="J139" s="379">
        <f t="shared" si="24"/>
        <v>-262282.03823433409</v>
      </c>
      <c r="K139" s="379">
        <f t="shared" si="24"/>
        <v>-258942.93942242701</v>
      </c>
      <c r="L139" s="379">
        <f t="shared" si="24"/>
        <v>-255414.22751575807</v>
      </c>
      <c r="M139" s="379">
        <f t="shared" si="24"/>
        <v>-251686.27577430219</v>
      </c>
      <c r="N139" s="379">
        <f t="shared" si="24"/>
        <v>-247748.98778552253</v>
      </c>
      <c r="O139" s="379">
        <f t="shared" si="24"/>
        <v>-243591.77490687917</v>
      </c>
      <c r="P139" s="379">
        <f t="shared" si="24"/>
        <v>-239203.53263189562</v>
      </c>
      <c r="Q139" s="379">
        <f t="shared" si="24"/>
        <v>-234572.61582855365</v>
      </c>
      <c r="R139" s="379">
        <f t="shared" si="24"/>
        <v>-229686.81279635031</v>
      </c>
      <c r="S139" s="379">
        <f t="shared" si="24"/>
        <v>-224533.31808580054</v>
      </c>
      <c r="T139" s="379">
        <f t="shared" si="24"/>
        <v>53025.866661632361</v>
      </c>
      <c r="U139" s="379">
        <f t="shared" si="24"/>
        <v>54086.383994865042</v>
      </c>
      <c r="V139" s="379">
        <f t="shared" si="24"/>
        <v>55168.111674762331</v>
      </c>
      <c r="W139" s="379">
        <f t="shared" si="24"/>
        <v>56271.473908257569</v>
      </c>
      <c r="X139" s="379">
        <f t="shared" si="24"/>
        <v>57396.903386422724</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52523.605066666656</v>
      </c>
      <c r="F140" s="379">
        <f t="shared" si="25"/>
        <v>52044.719699370631</v>
      </c>
      <c r="G140" s="379">
        <f t="shared" si="25"/>
        <v>51537.751507128043</v>
      </c>
      <c r="H140" s="379">
        <f t="shared" si="25"/>
        <v>51001.259840353945</v>
      </c>
      <c r="I140" s="379">
        <f t="shared" si="25"/>
        <v>50433.733484300064</v>
      </c>
      <c r="J140" s="379">
        <f t="shared" si="25"/>
        <v>49833.587264523478</v>
      </c>
      <c r="K140" s="379">
        <f t="shared" si="25"/>
        <v>49199.158490261128</v>
      </c>
      <c r="L140" s="379">
        <f t="shared" si="25"/>
        <v>48528.703227994032</v>
      </c>
      <c r="M140" s="379">
        <f t="shared" si="25"/>
        <v>47820.392397117415</v>
      </c>
      <c r="N140" s="379">
        <f t="shared" si="25"/>
        <v>47072.307679249279</v>
      </c>
      <c r="O140" s="379">
        <f t="shared" si="25"/>
        <v>46282.437232307042</v>
      </c>
      <c r="P140" s="379">
        <f t="shared" si="25"/>
        <v>45448.671200060169</v>
      </c>
      <c r="Q140" s="379">
        <f t="shared" si="25"/>
        <v>44568.797007425193</v>
      </c>
      <c r="R140" s="379">
        <f t="shared" si="25"/>
        <v>43640.494431306557</v>
      </c>
      <c r="S140" s="379">
        <f t="shared" si="25"/>
        <v>42661.330436302102</v>
      </c>
      <c r="T140" s="379">
        <f t="shared" si="25"/>
        <v>-10074.914665710148</v>
      </c>
      <c r="U140" s="379">
        <f t="shared" si="25"/>
        <v>-10276.412959024357</v>
      </c>
      <c r="V140" s="379">
        <f t="shared" si="25"/>
        <v>-10481.941218204844</v>
      </c>
      <c r="W140" s="379">
        <f t="shared" si="25"/>
        <v>-10691.580042568938</v>
      </c>
      <c r="X140" s="379">
        <f t="shared" si="25"/>
        <v>-10905.411643420317</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-148098.79286087025</v>
      </c>
      <c r="F142" s="386">
        <f t="shared" si="26"/>
        <v>-149598.87822816632</v>
      </c>
      <c r="G142" s="386">
        <f t="shared" si="26"/>
        <v>-151147.47042040888</v>
      </c>
      <c r="H142" s="386">
        <f t="shared" si="26"/>
        <v>-152746.41856718296</v>
      </c>
      <c r="I142" s="386">
        <f t="shared" si="26"/>
        <v>-154397.65053283685</v>
      </c>
      <c r="J142" s="386">
        <f t="shared" si="26"/>
        <v>-156103.17647440545</v>
      </c>
      <c r="K142" s="386">
        <f t="shared" si="26"/>
        <v>-157865.09256489563</v>
      </c>
      <c r="L142" s="386">
        <f t="shared" si="26"/>
        <v>-159685.58488971507</v>
      </c>
      <c r="M142" s="386">
        <f t="shared" si="26"/>
        <v>-161566.93352439516</v>
      </c>
      <c r="N142" s="386">
        <f t="shared" si="26"/>
        <v>-163511.51680214284</v>
      </c>
      <c r="O142" s="386">
        <f t="shared" si="26"/>
        <v>-165521.81578016217</v>
      </c>
      <c r="P142" s="386">
        <f t="shared" si="26"/>
        <v>-167600.41891410769</v>
      </c>
      <c r="Q142" s="386">
        <f t="shared" si="26"/>
        <v>-169750.02695047532</v>
      </c>
      <c r="R142" s="386">
        <f t="shared" si="26"/>
        <v>-171973.45804720122</v>
      </c>
      <c r="S142" s="386">
        <f t="shared" si="26"/>
        <v>-174273.65313322505</v>
      </c>
      <c r="T142" s="386">
        <f t="shared" si="26"/>
        <v>42950.951995922209</v>
      </c>
      <c r="U142" s="386">
        <f t="shared" si="26"/>
        <v>43809.971035840688</v>
      </c>
      <c r="V142" s="386">
        <f t="shared" si="26"/>
        <v>44686.170456557491</v>
      </c>
      <c r="W142" s="386">
        <f t="shared" si="26"/>
        <v>45579.893865688631</v>
      </c>
      <c r="X142" s="386">
        <f t="shared" si="26"/>
        <v>46491.491743002407</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-2255679.9999999995</v>
      </c>
      <c r="E143" s="379">
        <f>E132+E140</f>
        <v>1463.6050666666561</v>
      </c>
      <c r="F143" s="379">
        <f t="shared" ref="F143:AR143" si="27">F132+F140</f>
        <v>-36.480300629373232</v>
      </c>
      <c r="G143" s="379">
        <f t="shared" si="27"/>
        <v>-1585.0724928719574</v>
      </c>
      <c r="H143" s="379">
        <f t="shared" si="27"/>
        <v>-3184.0206396460489</v>
      </c>
      <c r="I143" s="379">
        <f t="shared" si="27"/>
        <v>-4835.252605299931</v>
      </c>
      <c r="J143" s="379">
        <f t="shared" si="27"/>
        <v>-6540.7785468685252</v>
      </c>
      <c r="K143" s="379">
        <f t="shared" si="27"/>
        <v>-8302.6946373587125</v>
      </c>
      <c r="L143" s="379">
        <f t="shared" si="27"/>
        <v>-10123.186962178195</v>
      </c>
      <c r="M143" s="379">
        <f t="shared" si="27"/>
        <v>-12004.535596858259</v>
      </c>
      <c r="N143" s="379">
        <f t="shared" si="27"/>
        <v>-13949.118874605912</v>
      </c>
      <c r="O143" s="379">
        <f t="shared" si="27"/>
        <v>-15959.417852625258</v>
      </c>
      <c r="P143" s="379">
        <f t="shared" si="27"/>
        <v>-18038.020986570766</v>
      </c>
      <c r="Q143" s="379">
        <f t="shared" si="27"/>
        <v>-20187.629022938367</v>
      </c>
      <c r="R143" s="379">
        <f t="shared" si="27"/>
        <v>-22411.060119664275</v>
      </c>
      <c r="S143" s="379">
        <f t="shared" si="27"/>
        <v>-24711.255205688154</v>
      </c>
      <c r="T143" s="379">
        <f t="shared" si="27"/>
        <v>42950.951995922209</v>
      </c>
      <c r="U143" s="379">
        <f t="shared" si="27"/>
        <v>43809.971035840688</v>
      </c>
      <c r="V143" s="379">
        <f t="shared" si="27"/>
        <v>44686.170456557491</v>
      </c>
      <c r="W143" s="379">
        <f t="shared" si="27"/>
        <v>45579.893865688631</v>
      </c>
      <c r="X143" s="379">
        <f t="shared" si="27"/>
        <v>46491.491743002407</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-676703.99999999988</v>
      </c>
      <c r="E144" s="379">
        <f>E142</f>
        <v>-148098.79286087025</v>
      </c>
      <c r="F144" s="379">
        <f t="shared" ref="F144:AR144" si="28">F142</f>
        <v>-149598.87822816632</v>
      </c>
      <c r="G144" s="379">
        <f t="shared" si="28"/>
        <v>-151147.47042040888</v>
      </c>
      <c r="H144" s="379">
        <f t="shared" si="28"/>
        <v>-152746.41856718296</v>
      </c>
      <c r="I144" s="379">
        <f t="shared" si="28"/>
        <v>-154397.65053283685</v>
      </c>
      <c r="J144" s="379">
        <f t="shared" si="28"/>
        <v>-156103.17647440545</v>
      </c>
      <c r="K144" s="379">
        <f t="shared" si="28"/>
        <v>-157865.09256489563</v>
      </c>
      <c r="L144" s="379">
        <f t="shared" si="28"/>
        <v>-159685.58488971507</v>
      </c>
      <c r="M144" s="379">
        <f t="shared" si="28"/>
        <v>-161566.93352439516</v>
      </c>
      <c r="N144" s="379">
        <f t="shared" si="28"/>
        <v>-163511.51680214284</v>
      </c>
      <c r="O144" s="379">
        <f t="shared" si="28"/>
        <v>-165521.81578016217</v>
      </c>
      <c r="P144" s="379">
        <f t="shared" si="28"/>
        <v>-167600.41891410769</v>
      </c>
      <c r="Q144" s="379">
        <f t="shared" si="28"/>
        <v>-169750.02695047532</v>
      </c>
      <c r="R144" s="379">
        <f t="shared" si="28"/>
        <v>-171973.45804720122</v>
      </c>
      <c r="S144" s="379">
        <f t="shared" si="28"/>
        <v>-174273.65313322505</v>
      </c>
      <c r="T144" s="379">
        <f t="shared" si="28"/>
        <v>42950.951995922209</v>
      </c>
      <c r="U144" s="379">
        <f t="shared" si="28"/>
        <v>43809.971035840688</v>
      </c>
      <c r="V144" s="379">
        <f t="shared" si="28"/>
        <v>44686.170456557491</v>
      </c>
      <c r="W144" s="379">
        <f t="shared" si="28"/>
        <v>45579.893865688631</v>
      </c>
      <c r="X144" s="379">
        <f t="shared" si="28"/>
        <v>46491.491743002407</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2070000</v>
      </c>
      <c r="F145" s="379">
        <f t="shared" si="29"/>
        <v>2070000</v>
      </c>
      <c r="G145" s="379">
        <f t="shared" si="29"/>
        <v>2070000</v>
      </c>
      <c r="H145" s="379">
        <f t="shared" si="29"/>
        <v>2070000</v>
      </c>
      <c r="I145" s="379">
        <f t="shared" si="29"/>
        <v>2070000</v>
      </c>
      <c r="J145" s="379">
        <f t="shared" si="29"/>
        <v>2070000</v>
      </c>
      <c r="K145" s="379">
        <f t="shared" si="29"/>
        <v>2070000</v>
      </c>
      <c r="L145" s="379">
        <f t="shared" si="29"/>
        <v>2070000</v>
      </c>
      <c r="M145" s="379">
        <f t="shared" si="29"/>
        <v>2070000</v>
      </c>
      <c r="N145" s="379">
        <f t="shared" si="29"/>
        <v>2070000</v>
      </c>
      <c r="O145" s="379">
        <f t="shared" si="29"/>
        <v>2070000</v>
      </c>
      <c r="P145" s="379">
        <f t="shared" si="29"/>
        <v>2070000</v>
      </c>
      <c r="Q145" s="379">
        <f t="shared" si="29"/>
        <v>2070000</v>
      </c>
      <c r="R145" s="379">
        <f t="shared" si="29"/>
        <v>2070000</v>
      </c>
      <c r="S145" s="379">
        <f t="shared" si="29"/>
        <v>2070000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2255679.9999999995</v>
      </c>
      <c r="E146" s="123">
        <f>IF(E112&lt;=$C76,D146-($C$5*E118+E132+E135),D146-(E132+E135))</f>
        <v>2107052.3599999994</v>
      </c>
      <c r="F146" s="123">
        <f t="shared" ref="F146:AR146" si="30">IF(F112&lt;=$C76,E146-($C$5*F118+F132+F135),E146-(F132+F135))</f>
        <v>1955904.2706984414</v>
      </c>
      <c r="G146" s="123">
        <f t="shared" si="30"/>
        <v>1802087.9277535013</v>
      </c>
      <c r="H146" s="123">
        <f t="shared" si="30"/>
        <v>1645447.9444571186</v>
      </c>
      <c r="I146" s="123">
        <f>IF(I112&lt;=$C76,H146-($C$5*I118+I132+I135),H146-(I132+I135))</f>
        <v>1485820.9803393998</v>
      </c>
      <c r="J146" s="123">
        <f t="shared" si="30"/>
        <v>1323035.3519070672</v>
      </c>
      <c r="K146" s="123">
        <f>IF(K112&lt;=$C76,J146-($C$5*K118+K132+K135),J146-(K132+K135))</f>
        <v>1156910.6246628277</v>
      </c>
      <c r="L146" s="123">
        <f t="shared" si="30"/>
        <v>987257.1855119192</v>
      </c>
      <c r="M146" s="123">
        <f t="shared" si="30"/>
        <v>813875.79461955477</v>
      </c>
      <c r="N146" s="123">
        <f t="shared" si="30"/>
        <v>636557.11573841074</v>
      </c>
      <c r="O146" s="123">
        <f t="shared" si="30"/>
        <v>455081.22397862328</v>
      </c>
      <c r="P146" s="123">
        <f t="shared" si="30"/>
        <v>269217.08994385228</v>
      </c>
      <c r="Q146" s="123">
        <f t="shared" si="30"/>
        <v>78722.039105739299</v>
      </c>
      <c r="R146" s="123">
        <f t="shared" si="30"/>
        <v>-116658.81476457702</v>
      </c>
      <c r="S146" s="123">
        <f t="shared" si="30"/>
        <v>-317193.16334544308</v>
      </c>
      <c r="T146" s="123">
        <f t="shared" si="30"/>
        <v>-370219.03000707546</v>
      </c>
      <c r="U146" s="123">
        <f t="shared" si="30"/>
        <v>-424305.41400194052</v>
      </c>
      <c r="V146" s="123">
        <f t="shared" si="30"/>
        <v>-479473.52567670285</v>
      </c>
      <c r="W146" s="123">
        <f t="shared" si="30"/>
        <v>-535744.9995849604</v>
      </c>
      <c r="X146" s="123">
        <f t="shared" si="30"/>
        <v>-593141.90297138318</v>
      </c>
      <c r="Y146" s="123">
        <f t="shared" si="30"/>
        <v>-593141.90297138318</v>
      </c>
      <c r="Z146" s="123">
        <f t="shared" si="30"/>
        <v>-593141.90297138318</v>
      </c>
      <c r="AA146" s="123">
        <f>IF(AA112&lt;=$C76,Z146-($C$5*AA118+AA132+AA135),Z146-(AA132+AA135))</f>
        <v>-593141.90297138318</v>
      </c>
      <c r="AB146" s="123">
        <f t="shared" si="30"/>
        <v>-593141.90297138318</v>
      </c>
      <c r="AC146" s="123">
        <f t="shared" si="30"/>
        <v>-593141.90297138318</v>
      </c>
      <c r="AD146" s="123">
        <f t="shared" si="30"/>
        <v>-593141.90297138318</v>
      </c>
      <c r="AE146" s="123">
        <f>IF(AE112&lt;=$C76,AD146-($C$5*AE118+AE132+AE135),AD146-(AE132+AE135))</f>
        <v>-593141.90297138318</v>
      </c>
      <c r="AF146" s="123">
        <f t="shared" si="30"/>
        <v>-593141.90297138318</v>
      </c>
      <c r="AG146" s="123">
        <f>IF(AG112&lt;=$C76,AF146-($C$5*AG118+AG132+AG135),AF146-(AG132+AG135))</f>
        <v>-593141.90297138318</v>
      </c>
      <c r="AH146" s="123">
        <f t="shared" si="30"/>
        <v>-593141.90297138318</v>
      </c>
      <c r="AI146" s="123">
        <f t="shared" si="30"/>
        <v>-593141.90297138318</v>
      </c>
      <c r="AJ146" s="123">
        <f t="shared" si="30"/>
        <v>-593141.90297138318</v>
      </c>
      <c r="AK146" s="123">
        <f t="shared" si="30"/>
        <v>-593141.90297138318</v>
      </c>
      <c r="AL146" s="123">
        <f t="shared" si="30"/>
        <v>-593141.90297138318</v>
      </c>
      <c r="AM146" s="123">
        <f t="shared" si="30"/>
        <v>-593141.90297138318</v>
      </c>
      <c r="AN146" s="123">
        <f t="shared" si="30"/>
        <v>-593141.90297138318</v>
      </c>
      <c r="AO146" s="123">
        <f t="shared" si="30"/>
        <v>-593141.90297138318</v>
      </c>
      <c r="AP146" s="123">
        <f t="shared" si="30"/>
        <v>-593141.90297138318</v>
      </c>
      <c r="AQ146" s="123">
        <f t="shared" si="30"/>
        <v>-593141.90297138318</v>
      </c>
      <c r="AR146" s="387">
        <f t="shared" si="30"/>
        <v>-593141.90297138318</v>
      </c>
    </row>
    <row r="147" spans="1:44" ht="13" thickBot="1" x14ac:dyDescent="0.3">
      <c r="B147" s="124" t="s">
        <v>473</v>
      </c>
      <c r="C147" s="125"/>
      <c r="D147" s="125"/>
      <c r="E147" s="126">
        <f t="shared" ref="E147:AR147" si="31">IF(E112&gt;$C$74,"",(-$C$94*(E139+$C$5*E118)+E132+$C$5*E118)/-E137)</f>
        <v>1.4974465385021192</v>
      </c>
      <c r="F147" s="126">
        <f t="shared" si="31"/>
        <v>1.4874167088919865</v>
      </c>
      <c r="G147" s="126">
        <f t="shared" si="31"/>
        <v>1.477062554280258</v>
      </c>
      <c r="H147" s="126">
        <f t="shared" si="31"/>
        <v>1.4663717110674555</v>
      </c>
      <c r="I147" s="126">
        <f t="shared" si="31"/>
        <v>1.4553312892198871</v>
      </c>
      <c r="J147" s="126">
        <f t="shared" si="31"/>
        <v>1.4439278484807587</v>
      </c>
      <c r="K147" s="126">
        <f t="shared" si="31"/>
        <v>1.4321473734756451</v>
      </c>
      <c r="L147" s="126">
        <f t="shared" si="31"/>
        <v>1.4199752476602951</v>
      </c>
      <c r="M147" s="126">
        <f t="shared" si="31"/>
        <v>1.4073962260562713</v>
      </c>
      <c r="N147" s="126">
        <f t="shared" si="31"/>
        <v>1.3943944067173637</v>
      </c>
      <c r="O147" s="126">
        <f t="shared" si="31"/>
        <v>1.3809532008669911</v>
      </c>
      <c r="P147" s="126">
        <f t="shared" si="31"/>
        <v>1.3670553016440019</v>
      </c>
      <c r="Q147" s="126">
        <f t="shared" si="31"/>
        <v>1.3526826513913019</v>
      </c>
      <c r="R147" s="126">
        <f t="shared" si="31"/>
        <v>1.337816407418648</v>
      </c>
      <c r="S147" s="126">
        <f t="shared" si="31"/>
        <v>1.3224369061676835</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-1414636.9696183226</v>
      </c>
      <c r="D150" s="57" t="s">
        <v>476</v>
      </c>
    </row>
    <row r="151" spans="1:44" x14ac:dyDescent="0.25">
      <c r="B151" s="26" t="s">
        <v>477</v>
      </c>
      <c r="C151" s="153">
        <f>(1-$C$94)*NPV($C$91,E145:AR145)</f>
        <v>15765454.868734434</v>
      </c>
      <c r="D151" s="58" t="str">
        <f>$C$7</f>
        <v>kWh</v>
      </c>
      <c r="F151" s="59"/>
    </row>
    <row r="152" spans="1:44" x14ac:dyDescent="0.25">
      <c r="B152" s="26" t="s">
        <v>478</v>
      </c>
      <c r="C152" s="153">
        <f>$C$41*1000000</f>
        <v>2255679.9999999995</v>
      </c>
      <c r="D152" s="57" t="s">
        <v>424</v>
      </c>
      <c r="F152" s="60"/>
    </row>
    <row r="153" spans="1:44" x14ac:dyDescent="0.25">
      <c r="B153" s="26" t="s">
        <v>479</v>
      </c>
      <c r="C153" s="154">
        <f>AVERAGE(E147:AR147)</f>
        <v>1.416160958122711</v>
      </c>
      <c r="D153" s="57"/>
      <c r="F153" s="60"/>
    </row>
    <row r="154" spans="1:44" x14ac:dyDescent="0.25">
      <c r="B154" s="26" t="s">
        <v>480</v>
      </c>
      <c r="C154" s="155" t="str">
        <f>CONCATENATE(ROUND(((1-$C$94)*$C$90*$C$92+$C$93*$C$91)*100,1),"% / ",ROUND((((1+(1-$C$94)*$C$90*$C$92+$C$93*$C$91)/(1+$C$89))-1)*100,1),"%")</f>
        <v>4.6% / 2.6%</v>
      </c>
      <c r="D154" s="57"/>
      <c r="F154" s="59"/>
      <c r="G154" s="61"/>
    </row>
    <row r="155" spans="1:44" x14ac:dyDescent="0.25">
      <c r="B155" s="26" t="s">
        <v>481</v>
      </c>
      <c r="C155" s="156">
        <f>IFERROR(IRR(D143:AR143),"n.v.t.")</f>
        <v>-0.13549257498840017</v>
      </c>
      <c r="D155" s="57"/>
      <c r="F155" s="60"/>
      <c r="G155" s="61"/>
    </row>
    <row r="156" spans="1:44" x14ac:dyDescent="0.25">
      <c r="B156" s="26" t="s">
        <v>482</v>
      </c>
      <c r="C156" s="156" t="str">
        <f>IFERROR(IRR(D144:AR144),"n.v.t.")</f>
        <v>n.v.t.</v>
      </c>
      <c r="D156" s="57"/>
      <c r="G156" s="61"/>
    </row>
    <row r="157" spans="1:44" x14ac:dyDescent="0.25">
      <c r="B157" s="38" t="s">
        <v>483</v>
      </c>
      <c r="C157" s="153">
        <f>$C$92*C152-C97</f>
        <v>1578975.9999999995</v>
      </c>
      <c r="D157" s="57" t="s">
        <v>424</v>
      </c>
      <c r="F157" s="35"/>
    </row>
    <row r="158" spans="1:44" x14ac:dyDescent="0.25">
      <c r="B158" s="38" t="s">
        <v>484</v>
      </c>
      <c r="C158" s="153">
        <f>$C$93*C152-C98</f>
        <v>676703.99999999988</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2070</v>
      </c>
      <c r="D160" s="57" t="s">
        <v>340</v>
      </c>
      <c r="F160" s="35"/>
    </row>
    <row r="161" spans="2:44" x14ac:dyDescent="0.25">
      <c r="B161" s="43" t="s">
        <v>487</v>
      </c>
      <c r="C161" s="461" t="str">
        <f>CONCATENATE( "tussen ", INDEX(D112:X112, MATCH(0,D146:X146, -1)), " en ",  1 + INDEX(D112:X112, MATCH(0,D146:X146, -1)), " jaar")</f>
        <v>tussen 13 en 14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35" priority="3" operator="containsText" text="Pas op">
      <formula>NOT(ISERROR(SEARCH("Pas op",G1)))</formula>
    </cfRule>
  </conditionalFormatting>
  <conditionalFormatting sqref="G105">
    <cfRule type="containsText" dxfId="34" priority="1" operator="containsText" text="Pas op">
      <formula>NOT(ISERROR(SEARCH("Pas op",G105)))</formula>
    </cfRule>
  </conditionalFormatting>
  <conditionalFormatting sqref="G184:G1048576">
    <cfRule type="containsText" dxfId="33" priority="2" operator="containsText" text="Pas op">
      <formula>NOT(ISERROR(SEARCH("Pas op",G184)))</formula>
    </cfRule>
  </conditionalFormatting>
  <dataValidations count="3">
    <dataValidation type="list" allowBlank="1" showInputMessage="1" showErrorMessage="1" sqref="C14" xr:uid="{EE503DB8-6DFC-460D-B2FC-DE5E81A3E1A3}">
      <formula1>"Nee,Ja,Geen warmte"</formula1>
    </dataValidation>
    <dataValidation type="list" allowBlank="1" showInputMessage="1" showErrorMessage="1" sqref="C7" xr:uid="{CF937B9E-A745-4468-AD74-653087501BF3}">
      <formula1>"t CO2,kWh"</formula1>
    </dataValidation>
    <dataValidation type="list" allowBlank="1" showInputMessage="1" showErrorMessage="1" sqref="C37361 C102897 C168433 C233969 C299505 C365041 C430577 C496113 C561649 C627185 C692721 C758257 C823793 C889329 C954865" xr:uid="{F136093B-2DAC-43C7-971F-B85C545E59C6}">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5BF35AAD-ABE1-497D-B54D-DC5B28A772FD}">
          <x14:formula1>
            <xm:f>Correcties!$A$8:$A$8</xm:f>
          </x14:formula1>
          <xm:sqref>C15</xm:sqref>
        </x14:dataValidation>
        <x14:dataValidation type="list" allowBlank="1" showInputMessage="1" showErrorMessage="1" xr:uid="{E8035581-899C-45C4-A891-A56EF7B533D3}">
          <x14:formula1>
            <xm:f>Correcties!$A$27:$A$38</xm:f>
          </x14:formula1>
          <xm:sqref>C13</xm:sqref>
        </x14:dataValidation>
        <x14:dataValidation type="list" allowBlank="1" showInputMessage="1" showErrorMessage="1" xr:uid="{C4905D81-25E8-4FED-84F1-64B08B2A5B59}">
          <x14:formula1>
            <xm:f>Colofon!$B$34:$B$39</xm:f>
          </x14:formula1>
          <xm:sqref>C9</xm:sqref>
        </x14:dataValidation>
        <x14:dataValidation type="list" allowBlank="1" showInputMessage="1" showErrorMessage="1" xr:uid="{68FA6350-B022-4361-BB6B-A30A211EA444}">
          <x14:formula1>
            <xm:f>Correcties!$A$10:$A$10</xm:f>
          </x14:formula1>
          <xm:sqref>C16</xm:sqref>
        </x14:dataValidation>
        <x14:dataValidation type="list" allowBlank="1" showInputMessage="1" showErrorMessage="1" xr:uid="{A5472B86-36F5-4AC4-9656-DC979872AAB9}">
          <x14:formula1>
            <xm:f>Correcties!$A$4:$A$10</xm:f>
          </x14:formula1>
          <xm:sqref>C12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4921A-081A-4AA1-9A7A-0323114811DD}">
  <sheetPr codeName="Sheet100">
    <tabColor theme="5" tint="0.59999389629810485"/>
    <pageSetUpPr fitToPage="1"/>
  </sheetPr>
  <dimension ref="A1:AR198"/>
  <sheetViews>
    <sheetView showGridLines="0" topLeftCell="A113" zoomScaleNormal="100" workbookViewId="0">
      <selection activeCell="E127" sqref="E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515</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0.1535</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960.65873741994517</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IFERROR(INDEX(Correcties!$A$1:$I$301,MATCH('11'!C12,Correcties!$A$1:$A$301,0),5),"")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1000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1760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2240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2.2556799999999995</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13.8</v>
      </c>
      <c r="D43" s="99" t="str">
        <f>CONCATENATE("Euro/",$C$8,"/jaar")</f>
        <v>Euro/kW/jaar</v>
      </c>
      <c r="E43" s="447" t="s">
        <v>357</v>
      </c>
      <c r="F43" s="447"/>
      <c r="G43" s="447"/>
      <c r="H43" s="447"/>
      <c r="I43" s="447"/>
      <c r="J43" s="447"/>
      <c r="K43" s="447"/>
      <c r="L43" s="447"/>
      <c r="M43" s="448"/>
    </row>
    <row r="44" spans="2:13" x14ac:dyDescent="0.25">
      <c r="B44" s="96" t="s">
        <v>359</v>
      </c>
      <c r="C44" s="348">
        <f>(C42*C21+C43*SUM(C26,C28))/1000</f>
        <v>13.8</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1.7999999999999999E-2</v>
      </c>
      <c r="D48" s="99" t="str">
        <f>CONCATENATE("Euro/",$C$7)</f>
        <v>Euro/kWh</v>
      </c>
      <c r="E48" s="447"/>
      <c r="F48" s="447"/>
      <c r="G48" s="447"/>
      <c r="H48" s="447"/>
      <c r="I48" s="447"/>
      <c r="J48" s="447"/>
      <c r="K48" s="447"/>
      <c r="L48" s="447"/>
      <c r="M48" s="448"/>
    </row>
    <row r="49" spans="2:13" x14ac:dyDescent="0.25">
      <c r="B49" s="97" t="s">
        <v>366</v>
      </c>
      <c r="C49" s="142">
        <f>SUM(C45:C48)</f>
        <v>1.7999999999999999E-2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1760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26400000</v>
      </c>
      <c r="D84" s="98" t="str">
        <f>C7</f>
        <v>kWh</v>
      </c>
      <c r="E84" s="447"/>
      <c r="F84" s="447"/>
      <c r="G84" s="447"/>
      <c r="H84" s="447"/>
      <c r="I84" s="447"/>
      <c r="J84" s="447"/>
      <c r="K84" s="447"/>
      <c r="L84" s="447"/>
      <c r="M84" s="448"/>
    </row>
    <row r="85" spans="2:13" x14ac:dyDescent="0.25">
      <c r="B85" s="113" t="s">
        <v>413</v>
      </c>
      <c r="C85" s="145">
        <f>IF(C77=0,SUM(E118:INDEX(E118:AR118,1,C73)),SUM(E118:INDEX(E118:AR118,1,C77)))</f>
        <v>35200000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4.7500000000000001E-2</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-2255679.9999999995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1760000</v>
      </c>
      <c r="F115" s="379">
        <f t="shared" si="4"/>
        <v>1760000</v>
      </c>
      <c r="G115" s="379">
        <f t="shared" si="4"/>
        <v>1760000</v>
      </c>
      <c r="H115" s="379">
        <f t="shared" si="4"/>
        <v>1760000</v>
      </c>
      <c r="I115" s="379">
        <f t="shared" si="4"/>
        <v>1760000</v>
      </c>
      <c r="J115" s="379">
        <f t="shared" si="4"/>
        <v>1760000</v>
      </c>
      <c r="K115" s="379">
        <f t="shared" si="4"/>
        <v>1760000</v>
      </c>
      <c r="L115" s="379">
        <f t="shared" si="4"/>
        <v>1760000</v>
      </c>
      <c r="M115" s="379">
        <f t="shared" si="4"/>
        <v>1760000</v>
      </c>
      <c r="N115" s="379">
        <f t="shared" si="4"/>
        <v>1760000</v>
      </c>
      <c r="O115" s="379">
        <f t="shared" si="4"/>
        <v>1760000</v>
      </c>
      <c r="P115" s="379">
        <f t="shared" si="4"/>
        <v>1760000</v>
      </c>
      <c r="Q115" s="379">
        <f t="shared" si="4"/>
        <v>1760000</v>
      </c>
      <c r="R115" s="379">
        <f t="shared" si="4"/>
        <v>1760000</v>
      </c>
      <c r="S115" s="379">
        <f t="shared" si="4"/>
        <v>1760000</v>
      </c>
      <c r="T115" s="379">
        <f t="shared" si="4"/>
        <v>1760000</v>
      </c>
      <c r="U115" s="379">
        <f t="shared" si="4"/>
        <v>1760000</v>
      </c>
      <c r="V115" s="379">
        <f t="shared" si="4"/>
        <v>1760000</v>
      </c>
      <c r="W115" s="379">
        <f t="shared" si="4"/>
        <v>1760000</v>
      </c>
      <c r="X115" s="379">
        <f t="shared" si="4"/>
        <v>1760000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1760000</v>
      </c>
      <c r="F118" s="150">
        <f t="shared" ref="F118:AR118" si="7">SUM(F115:F117)</f>
        <v>1760000</v>
      </c>
      <c r="G118" s="150">
        <f t="shared" si="7"/>
        <v>1760000</v>
      </c>
      <c r="H118" s="150">
        <f t="shared" si="7"/>
        <v>1760000</v>
      </c>
      <c r="I118" s="150">
        <f t="shared" si="7"/>
        <v>1760000</v>
      </c>
      <c r="J118" s="150">
        <f t="shared" si="7"/>
        <v>1760000</v>
      </c>
      <c r="K118" s="150">
        <f t="shared" si="7"/>
        <v>1760000</v>
      </c>
      <c r="L118" s="150">
        <f t="shared" si="7"/>
        <v>1760000</v>
      </c>
      <c r="M118" s="150">
        <f t="shared" si="7"/>
        <v>1760000</v>
      </c>
      <c r="N118" s="150">
        <f t="shared" si="7"/>
        <v>1760000</v>
      </c>
      <c r="O118" s="150">
        <f t="shared" si="7"/>
        <v>1760000</v>
      </c>
      <c r="P118" s="150">
        <f t="shared" si="7"/>
        <v>1760000</v>
      </c>
      <c r="Q118" s="150">
        <f t="shared" si="7"/>
        <v>1760000</v>
      </c>
      <c r="R118" s="150">
        <f t="shared" si="7"/>
        <v>1760000</v>
      </c>
      <c r="S118" s="150">
        <f t="shared" si="7"/>
        <v>1760000</v>
      </c>
      <c r="T118" s="150">
        <f t="shared" si="7"/>
        <v>1760000</v>
      </c>
      <c r="U118" s="150">
        <f t="shared" si="7"/>
        <v>1760000</v>
      </c>
      <c r="V118" s="150">
        <f t="shared" si="7"/>
        <v>1760000</v>
      </c>
      <c r="W118" s="150">
        <f t="shared" si="7"/>
        <v>1760000</v>
      </c>
      <c r="X118" s="150">
        <f t="shared" si="7"/>
        <v>1760000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-45480</v>
      </c>
      <c r="F120" s="379">
        <f t="shared" ref="F120:AR120" si="8">IF(F112&gt;$C$73,0,-F109*(($C$42*$C$21+$C$43*SUM($C$26,$C$28))+F118*$C$49))+IF($C$101=F112,$D$101*F109,0)+IF($C$102=F112,$D$102*F109,0)+IF($C$103=F112,$D$103*F109,0)</f>
        <v>-46389.599999999999</v>
      </c>
      <c r="G120" s="379">
        <f t="shared" si="8"/>
        <v>-47317.392</v>
      </c>
      <c r="H120" s="379">
        <f t="shared" si="8"/>
        <v>-48263.739839999995</v>
      </c>
      <c r="I120" s="379">
        <f t="shared" si="8"/>
        <v>-49229.014636799999</v>
      </c>
      <c r="J120" s="379">
        <f t="shared" si="8"/>
        <v>-50213.594929536004</v>
      </c>
      <c r="K120" s="379">
        <f t="shared" si="8"/>
        <v>-51217.866828126724</v>
      </c>
      <c r="L120" s="379">
        <f t="shared" si="8"/>
        <v>-52242.224164689243</v>
      </c>
      <c r="M120" s="379">
        <f t="shared" si="8"/>
        <v>-53287.068647983033</v>
      </c>
      <c r="N120" s="379">
        <f t="shared" si="8"/>
        <v>-54352.810020942699</v>
      </c>
      <c r="O120" s="379">
        <f t="shared" si="8"/>
        <v>-55439.866221361553</v>
      </c>
      <c r="P120" s="379">
        <f t="shared" si="8"/>
        <v>-56548.663545788775</v>
      </c>
      <c r="Q120" s="379">
        <f t="shared" si="8"/>
        <v>-57679.636816704558</v>
      </c>
      <c r="R120" s="379">
        <f t="shared" si="8"/>
        <v>-58833.229553038647</v>
      </c>
      <c r="S120" s="379">
        <f t="shared" si="8"/>
        <v>-60009.894144099424</v>
      </c>
      <c r="T120" s="379">
        <f t="shared" si="8"/>
        <v>-61210.092026981394</v>
      </c>
      <c r="U120" s="379">
        <f t="shared" si="8"/>
        <v>-62434.293867521039</v>
      </c>
      <c r="V120" s="379">
        <f t="shared" si="8"/>
        <v>-63682.97974487146</v>
      </c>
      <c r="W120" s="379">
        <f t="shared" si="8"/>
        <v>-64956.639339768881</v>
      </c>
      <c r="X120" s="379">
        <f t="shared" si="8"/>
        <v>-66255.772126564261</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103513.42563718543</v>
      </c>
      <c r="U127" s="379">
        <f t="shared" si="15"/>
        <v>105583.69414992916</v>
      </c>
      <c r="V127" s="379">
        <f t="shared" si="15"/>
        <v>107695.36803292774</v>
      </c>
      <c r="W127" s="379">
        <f t="shared" si="15"/>
        <v>109849.27539358629</v>
      </c>
      <c r="X127" s="379">
        <f t="shared" si="15"/>
        <v>112046.26090145802</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103513.42563718543</v>
      </c>
      <c r="U130" s="379">
        <f t="shared" si="17"/>
        <v>105583.69414992916</v>
      </c>
      <c r="V130" s="379">
        <f t="shared" si="17"/>
        <v>107695.36803292774</v>
      </c>
      <c r="W130" s="379">
        <f t="shared" si="17"/>
        <v>109849.27539358629</v>
      </c>
      <c r="X130" s="379">
        <f t="shared" si="17"/>
        <v>112046.26090145802</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-45480</v>
      </c>
      <c r="F131" s="379">
        <f t="shared" si="18"/>
        <v>-46389.599999999999</v>
      </c>
      <c r="G131" s="379">
        <f t="shared" si="18"/>
        <v>-47317.392</v>
      </c>
      <c r="H131" s="379">
        <f t="shared" si="18"/>
        <v>-48263.739839999995</v>
      </c>
      <c r="I131" s="379">
        <f t="shared" si="18"/>
        <v>-49229.014636799999</v>
      </c>
      <c r="J131" s="379">
        <f t="shared" si="18"/>
        <v>-50213.594929536004</v>
      </c>
      <c r="K131" s="379">
        <f t="shared" si="18"/>
        <v>-51217.866828126724</v>
      </c>
      <c r="L131" s="379">
        <f t="shared" si="18"/>
        <v>-52242.224164689243</v>
      </c>
      <c r="M131" s="379">
        <f t="shared" si="18"/>
        <v>-53287.068647983033</v>
      </c>
      <c r="N131" s="379">
        <f t="shared" si="18"/>
        <v>-54352.810020942699</v>
      </c>
      <c r="O131" s="379">
        <f t="shared" si="18"/>
        <v>-55439.866221361553</v>
      </c>
      <c r="P131" s="379">
        <f t="shared" si="18"/>
        <v>-56548.663545788775</v>
      </c>
      <c r="Q131" s="379">
        <f t="shared" si="18"/>
        <v>-57679.636816704558</v>
      </c>
      <c r="R131" s="379">
        <f t="shared" si="18"/>
        <v>-58833.229553038647</v>
      </c>
      <c r="S131" s="379">
        <f t="shared" si="18"/>
        <v>-60009.894144099424</v>
      </c>
      <c r="T131" s="379">
        <f t="shared" si="18"/>
        <v>-61210.092026981394</v>
      </c>
      <c r="U131" s="379">
        <f t="shared" si="18"/>
        <v>-62434.293867521039</v>
      </c>
      <c r="V131" s="379">
        <f t="shared" si="18"/>
        <v>-63682.97974487146</v>
      </c>
      <c r="W131" s="379">
        <f t="shared" si="18"/>
        <v>-64956.639339768881</v>
      </c>
      <c r="X131" s="379">
        <f t="shared" si="18"/>
        <v>-66255.772126564261</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-45480</v>
      </c>
      <c r="F132" s="386">
        <f t="shared" ref="F132:AR132" si="19">SUM(F130:F131)</f>
        <v>-46389.599999999999</v>
      </c>
      <c r="G132" s="386">
        <f t="shared" si="19"/>
        <v>-47317.392</v>
      </c>
      <c r="H132" s="386">
        <f t="shared" si="19"/>
        <v>-48263.739839999995</v>
      </c>
      <c r="I132" s="386">
        <f t="shared" si="19"/>
        <v>-49229.014636799999</v>
      </c>
      <c r="J132" s="386">
        <f t="shared" si="19"/>
        <v>-50213.594929536004</v>
      </c>
      <c r="K132" s="386">
        <f t="shared" si="19"/>
        <v>-51217.866828126724</v>
      </c>
      <c r="L132" s="386">
        <f t="shared" si="19"/>
        <v>-52242.224164689243</v>
      </c>
      <c r="M132" s="386">
        <f t="shared" si="19"/>
        <v>-53287.068647983033</v>
      </c>
      <c r="N132" s="386">
        <f t="shared" si="19"/>
        <v>-54352.810020942699</v>
      </c>
      <c r="O132" s="386">
        <f t="shared" si="19"/>
        <v>-55439.866221361553</v>
      </c>
      <c r="P132" s="386">
        <f t="shared" si="19"/>
        <v>-56548.663545788775</v>
      </c>
      <c r="Q132" s="386">
        <f t="shared" si="19"/>
        <v>-57679.636816704558</v>
      </c>
      <c r="R132" s="386">
        <f t="shared" si="19"/>
        <v>-58833.229553038647</v>
      </c>
      <c r="S132" s="386">
        <f t="shared" si="19"/>
        <v>-60009.894144099424</v>
      </c>
      <c r="T132" s="386">
        <f t="shared" si="19"/>
        <v>42303.333610204034</v>
      </c>
      <c r="U132" s="386">
        <f t="shared" si="19"/>
        <v>43149.400282408118</v>
      </c>
      <c r="V132" s="386">
        <f t="shared" si="19"/>
        <v>44012.388288056281</v>
      </c>
      <c r="W132" s="386">
        <f t="shared" si="19"/>
        <v>44892.636053817405</v>
      </c>
      <c r="X132" s="386">
        <f t="shared" si="19"/>
        <v>45790.488774893762</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-150378.66666666663</v>
      </c>
      <c r="F134" s="379">
        <f t="shared" si="20"/>
        <v>-150378.66666666663</v>
      </c>
      <c r="G134" s="379">
        <f t="shared" si="20"/>
        <v>-150378.66666666663</v>
      </c>
      <c r="H134" s="379">
        <f t="shared" si="20"/>
        <v>-150378.66666666663</v>
      </c>
      <c r="I134" s="379">
        <f t="shared" si="20"/>
        <v>-150378.66666666663</v>
      </c>
      <c r="J134" s="379">
        <f t="shared" si="20"/>
        <v>-150378.66666666663</v>
      </c>
      <c r="K134" s="379">
        <f t="shared" si="20"/>
        <v>-150378.66666666663</v>
      </c>
      <c r="L134" s="379">
        <f t="shared" si="20"/>
        <v>-150378.66666666663</v>
      </c>
      <c r="M134" s="379">
        <f t="shared" si="20"/>
        <v>-150378.66666666663</v>
      </c>
      <c r="N134" s="379">
        <f t="shared" si="20"/>
        <v>-150378.66666666663</v>
      </c>
      <c r="O134" s="379">
        <f t="shared" si="20"/>
        <v>-150378.66666666663</v>
      </c>
      <c r="P134" s="379">
        <f t="shared" si="20"/>
        <v>-150378.66666666663</v>
      </c>
      <c r="Q134" s="379">
        <f t="shared" si="20"/>
        <v>-150378.66666666663</v>
      </c>
      <c r="R134" s="379">
        <f t="shared" si="20"/>
        <v>-150378.66666666663</v>
      </c>
      <c r="S134" s="379">
        <f t="shared" si="20"/>
        <v>-150378.66666666663</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-75001.359999999986</v>
      </c>
      <c r="F135" s="379">
        <f t="shared" si="21"/>
        <v>-71459.710698441966</v>
      </c>
      <c r="G135" s="379">
        <f t="shared" si="21"/>
        <v>-67749.833055059949</v>
      </c>
      <c r="H135" s="379">
        <f t="shared" si="21"/>
        <v>-63863.736223617292</v>
      </c>
      <c r="I135" s="379">
        <f t="shared" si="21"/>
        <v>-59793.049792681115</v>
      </c>
      <c r="J135" s="379">
        <f t="shared" si="21"/>
        <v>-55529.005756275466</v>
      </c>
      <c r="K135" s="379">
        <f t="shared" si="21"/>
        <v>-51062.419628140538</v>
      </c>
      <c r="L135" s="379">
        <f t="shared" si="21"/>
        <v>-46383.670658919211</v>
      </c>
      <c r="M135" s="379">
        <f t="shared" si="21"/>
        <v>-41482.681113659884</v>
      </c>
      <c r="N135" s="379">
        <f t="shared" si="21"/>
        <v>-36348.894565000723</v>
      </c>
      <c r="O135" s="379">
        <f t="shared" si="21"/>
        <v>-30971.25315528025</v>
      </c>
      <c r="P135" s="379">
        <f t="shared" si="21"/>
        <v>-25338.173778598062</v>
      </c>
      <c r="Q135" s="379">
        <f t="shared" si="21"/>
        <v>-19437.523131523463</v>
      </c>
      <c r="R135" s="379">
        <f t="shared" si="21"/>
        <v>-13256.591578712823</v>
      </c>
      <c r="S135" s="379">
        <f t="shared" si="21"/>
        <v>-6782.0657771436781</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-74561.037927536949</v>
      </c>
      <c r="F136" s="379">
        <f t="shared" si="22"/>
        <v>-78102.687229094954</v>
      </c>
      <c r="G136" s="379">
        <f t="shared" si="22"/>
        <v>-81812.564872476971</v>
      </c>
      <c r="H136" s="379">
        <f t="shared" si="22"/>
        <v>-85698.661703919614</v>
      </c>
      <c r="I136" s="379">
        <f t="shared" si="22"/>
        <v>-89769.348134855798</v>
      </c>
      <c r="J136" s="379">
        <f t="shared" si="22"/>
        <v>-94033.392171261439</v>
      </c>
      <c r="K136" s="379">
        <f t="shared" si="22"/>
        <v>-98499.978299396374</v>
      </c>
      <c r="L136" s="379">
        <f t="shared" si="22"/>
        <v>-103178.72726861769</v>
      </c>
      <c r="M136" s="379">
        <f t="shared" si="22"/>
        <v>-108079.71681387704</v>
      </c>
      <c r="N136" s="379">
        <f t="shared" si="22"/>
        <v>-113213.5033625362</v>
      </c>
      <c r="O136" s="379">
        <f t="shared" si="22"/>
        <v>-118591.14477225668</v>
      </c>
      <c r="P136" s="379">
        <f t="shared" si="22"/>
        <v>-124224.22414893885</v>
      </c>
      <c r="Q136" s="379">
        <f t="shared" si="22"/>
        <v>-130124.87479601348</v>
      </c>
      <c r="R136" s="379">
        <f t="shared" si="22"/>
        <v>-136305.80634882412</v>
      </c>
      <c r="S136" s="379">
        <f t="shared" si="22"/>
        <v>-142780.33215039322</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-149562.39792753692</v>
      </c>
      <c r="F137" s="386">
        <f t="shared" ref="F137:AR137" si="23">SUM(F135,F136)</f>
        <v>-149562.39792753692</v>
      </c>
      <c r="G137" s="386">
        <f t="shared" si="23"/>
        <v>-149562.39792753692</v>
      </c>
      <c r="H137" s="386">
        <f t="shared" si="23"/>
        <v>-149562.39792753692</v>
      </c>
      <c r="I137" s="386">
        <f t="shared" si="23"/>
        <v>-149562.39792753692</v>
      </c>
      <c r="J137" s="386">
        <f t="shared" si="23"/>
        <v>-149562.39792753692</v>
      </c>
      <c r="K137" s="386">
        <f t="shared" si="23"/>
        <v>-149562.39792753692</v>
      </c>
      <c r="L137" s="386">
        <f t="shared" si="23"/>
        <v>-149562.39792753689</v>
      </c>
      <c r="M137" s="386">
        <f t="shared" si="23"/>
        <v>-149562.39792753692</v>
      </c>
      <c r="N137" s="386">
        <f t="shared" si="23"/>
        <v>-149562.39792753692</v>
      </c>
      <c r="O137" s="386">
        <f t="shared" si="23"/>
        <v>-149562.39792753692</v>
      </c>
      <c r="P137" s="386">
        <f t="shared" si="23"/>
        <v>-149562.39792753692</v>
      </c>
      <c r="Q137" s="386">
        <f t="shared" si="23"/>
        <v>-149562.39792753695</v>
      </c>
      <c r="R137" s="386">
        <f t="shared" si="23"/>
        <v>-149562.39792753695</v>
      </c>
      <c r="S137" s="386">
        <f t="shared" si="23"/>
        <v>-149562.39792753689</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-270860.02666666661</v>
      </c>
      <c r="F139" s="379">
        <f t="shared" ref="F139:AR139" si="24">F132+F134+F135</f>
        <v>-268227.97736510861</v>
      </c>
      <c r="G139" s="379">
        <f t="shared" si="24"/>
        <v>-265445.89172172657</v>
      </c>
      <c r="H139" s="379">
        <f t="shared" si="24"/>
        <v>-262506.1427302839</v>
      </c>
      <c r="I139" s="379">
        <f t="shared" si="24"/>
        <v>-259400.73109614773</v>
      </c>
      <c r="J139" s="379">
        <f t="shared" si="24"/>
        <v>-256121.26735247808</v>
      </c>
      <c r="K139" s="379">
        <f t="shared" si="24"/>
        <v>-252658.95312293389</v>
      </c>
      <c r="L139" s="379">
        <f t="shared" si="24"/>
        <v>-249004.56149027508</v>
      </c>
      <c r="M139" s="379">
        <f t="shared" si="24"/>
        <v>-245148.41642830952</v>
      </c>
      <c r="N139" s="379">
        <f t="shared" si="24"/>
        <v>-241080.37125261006</v>
      </c>
      <c r="O139" s="379">
        <f t="shared" si="24"/>
        <v>-236789.78604330844</v>
      </c>
      <c r="P139" s="379">
        <f t="shared" si="24"/>
        <v>-232265.50399105347</v>
      </c>
      <c r="Q139" s="379">
        <f t="shared" si="24"/>
        <v>-227495.82661489464</v>
      </c>
      <c r="R139" s="379">
        <f t="shared" si="24"/>
        <v>-222468.48779841812</v>
      </c>
      <c r="S139" s="379">
        <f t="shared" si="24"/>
        <v>-217170.62658790973</v>
      </c>
      <c r="T139" s="379">
        <f t="shared" si="24"/>
        <v>42303.333610204034</v>
      </c>
      <c r="U139" s="379">
        <f t="shared" si="24"/>
        <v>43149.400282408118</v>
      </c>
      <c r="V139" s="379">
        <f t="shared" si="24"/>
        <v>44012.388288056281</v>
      </c>
      <c r="W139" s="379">
        <f t="shared" si="24"/>
        <v>44892.636053817405</v>
      </c>
      <c r="X139" s="379">
        <f t="shared" si="24"/>
        <v>45790.488774893762</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51463.405066666659</v>
      </c>
      <c r="F140" s="379">
        <f t="shared" si="25"/>
        <v>50963.315699370636</v>
      </c>
      <c r="G140" s="379">
        <f t="shared" si="25"/>
        <v>50434.719427128046</v>
      </c>
      <c r="H140" s="379">
        <f t="shared" si="25"/>
        <v>49876.16711875394</v>
      </c>
      <c r="I140" s="379">
        <f t="shared" si="25"/>
        <v>49286.138908268069</v>
      </c>
      <c r="J140" s="379">
        <f t="shared" si="25"/>
        <v>48663.040796970839</v>
      </c>
      <c r="K140" s="379">
        <f t="shared" si="25"/>
        <v>48005.201093357442</v>
      </c>
      <c r="L140" s="379">
        <f t="shared" si="25"/>
        <v>47310.866683152264</v>
      </c>
      <c r="M140" s="379">
        <f t="shared" si="25"/>
        <v>46578.199121378806</v>
      </c>
      <c r="N140" s="379">
        <f t="shared" si="25"/>
        <v>45805.270537995908</v>
      </c>
      <c r="O140" s="379">
        <f t="shared" si="25"/>
        <v>44990.059348228606</v>
      </c>
      <c r="P140" s="379">
        <f t="shared" si="25"/>
        <v>44130.445758300157</v>
      </c>
      <c r="Q140" s="379">
        <f t="shared" si="25"/>
        <v>43224.207056829982</v>
      </c>
      <c r="R140" s="379">
        <f t="shared" si="25"/>
        <v>42269.012681699445</v>
      </c>
      <c r="S140" s="379">
        <f t="shared" si="25"/>
        <v>41262.419051702847</v>
      </c>
      <c r="T140" s="379">
        <f t="shared" si="25"/>
        <v>-8037.6333859387669</v>
      </c>
      <c r="U140" s="379">
        <f t="shared" si="25"/>
        <v>-8198.386053657543</v>
      </c>
      <c r="V140" s="379">
        <f t="shared" si="25"/>
        <v>-8362.3537747306927</v>
      </c>
      <c r="W140" s="379">
        <f t="shared" si="25"/>
        <v>-8529.6008502253062</v>
      </c>
      <c r="X140" s="379">
        <f t="shared" si="25"/>
        <v>-8700.1928672298145</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-143578.99286087026</v>
      </c>
      <c r="F142" s="386">
        <f t="shared" si="26"/>
        <v>-144988.68222816629</v>
      </c>
      <c r="G142" s="386">
        <f t="shared" si="26"/>
        <v>-146445.07050040888</v>
      </c>
      <c r="H142" s="386">
        <f t="shared" si="26"/>
        <v>-147949.97064878297</v>
      </c>
      <c r="I142" s="386">
        <f t="shared" si="26"/>
        <v>-149505.27365606884</v>
      </c>
      <c r="J142" s="386">
        <f t="shared" si="26"/>
        <v>-151112.95206010208</v>
      </c>
      <c r="K142" s="386">
        <f t="shared" si="26"/>
        <v>-152775.0636623062</v>
      </c>
      <c r="L142" s="386">
        <f t="shared" si="26"/>
        <v>-154493.75540907387</v>
      </c>
      <c r="M142" s="386">
        <f t="shared" si="26"/>
        <v>-156271.26745414114</v>
      </c>
      <c r="N142" s="386">
        <f t="shared" si="26"/>
        <v>-158109.93741048372</v>
      </c>
      <c r="O142" s="386">
        <f t="shared" si="26"/>
        <v>-160012.20480066986</v>
      </c>
      <c r="P142" s="386">
        <f t="shared" si="26"/>
        <v>-161980.61571502555</v>
      </c>
      <c r="Q142" s="386">
        <f t="shared" si="26"/>
        <v>-164017.82768741151</v>
      </c>
      <c r="R142" s="386">
        <f t="shared" si="26"/>
        <v>-166126.61479887614</v>
      </c>
      <c r="S142" s="386">
        <f t="shared" si="26"/>
        <v>-168309.87301993347</v>
      </c>
      <c r="T142" s="386">
        <f t="shared" si="26"/>
        <v>34265.700224265267</v>
      </c>
      <c r="U142" s="386">
        <f t="shared" si="26"/>
        <v>34951.014228750573</v>
      </c>
      <c r="V142" s="386">
        <f t="shared" si="26"/>
        <v>35650.034513325591</v>
      </c>
      <c r="W142" s="386">
        <f t="shared" si="26"/>
        <v>36363.035203592095</v>
      </c>
      <c r="X142" s="386">
        <f t="shared" si="26"/>
        <v>37090.295907663945</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-2255679.9999999995</v>
      </c>
      <c r="E143" s="379">
        <f>E132+E140</f>
        <v>5983.405066666659</v>
      </c>
      <c r="F143" s="379">
        <f t="shared" ref="F143:AR143" si="27">F132+F140</f>
        <v>4573.7156993706376</v>
      </c>
      <c r="G143" s="379">
        <f t="shared" si="27"/>
        <v>3117.3274271280461</v>
      </c>
      <c r="H143" s="379">
        <f t="shared" si="27"/>
        <v>1612.4272787539448</v>
      </c>
      <c r="I143" s="379">
        <f t="shared" si="27"/>
        <v>57.124271468070219</v>
      </c>
      <c r="J143" s="379">
        <f t="shared" si="27"/>
        <v>-1550.5541325651648</v>
      </c>
      <c r="K143" s="379">
        <f t="shared" si="27"/>
        <v>-3212.6657347692817</v>
      </c>
      <c r="L143" s="379">
        <f t="shared" si="27"/>
        <v>-4931.3574815369793</v>
      </c>
      <c r="M143" s="379">
        <f t="shared" si="27"/>
        <v>-6708.8695266042268</v>
      </c>
      <c r="N143" s="379">
        <f t="shared" si="27"/>
        <v>-8547.5394829467914</v>
      </c>
      <c r="O143" s="379">
        <f t="shared" si="27"/>
        <v>-10449.806873132948</v>
      </c>
      <c r="P143" s="379">
        <f t="shared" si="27"/>
        <v>-12418.217787488618</v>
      </c>
      <c r="Q143" s="379">
        <f t="shared" si="27"/>
        <v>-14455.429759874576</v>
      </c>
      <c r="R143" s="379">
        <f t="shared" si="27"/>
        <v>-16564.216871339202</v>
      </c>
      <c r="S143" s="379">
        <f t="shared" si="27"/>
        <v>-18747.475092396577</v>
      </c>
      <c r="T143" s="379">
        <f t="shared" si="27"/>
        <v>34265.700224265267</v>
      </c>
      <c r="U143" s="379">
        <f t="shared" si="27"/>
        <v>34951.014228750573</v>
      </c>
      <c r="V143" s="379">
        <f t="shared" si="27"/>
        <v>35650.034513325591</v>
      </c>
      <c r="W143" s="379">
        <f t="shared" si="27"/>
        <v>36363.035203592095</v>
      </c>
      <c r="X143" s="379">
        <f t="shared" si="27"/>
        <v>37090.295907663945</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-676703.99999999988</v>
      </c>
      <c r="E144" s="379">
        <f>E142</f>
        <v>-143578.99286087026</v>
      </c>
      <c r="F144" s="379">
        <f t="shared" ref="F144:AR144" si="28">F142</f>
        <v>-144988.68222816629</v>
      </c>
      <c r="G144" s="379">
        <f t="shared" si="28"/>
        <v>-146445.07050040888</v>
      </c>
      <c r="H144" s="379">
        <f t="shared" si="28"/>
        <v>-147949.97064878297</v>
      </c>
      <c r="I144" s="379">
        <f t="shared" si="28"/>
        <v>-149505.27365606884</v>
      </c>
      <c r="J144" s="379">
        <f t="shared" si="28"/>
        <v>-151112.95206010208</v>
      </c>
      <c r="K144" s="379">
        <f t="shared" si="28"/>
        <v>-152775.0636623062</v>
      </c>
      <c r="L144" s="379">
        <f t="shared" si="28"/>
        <v>-154493.75540907387</v>
      </c>
      <c r="M144" s="379">
        <f t="shared" si="28"/>
        <v>-156271.26745414114</v>
      </c>
      <c r="N144" s="379">
        <f t="shared" si="28"/>
        <v>-158109.93741048372</v>
      </c>
      <c r="O144" s="379">
        <f t="shared" si="28"/>
        <v>-160012.20480066986</v>
      </c>
      <c r="P144" s="379">
        <f t="shared" si="28"/>
        <v>-161980.61571502555</v>
      </c>
      <c r="Q144" s="379">
        <f t="shared" si="28"/>
        <v>-164017.82768741151</v>
      </c>
      <c r="R144" s="379">
        <f t="shared" si="28"/>
        <v>-166126.61479887614</v>
      </c>
      <c r="S144" s="379">
        <f t="shared" si="28"/>
        <v>-168309.87301993347</v>
      </c>
      <c r="T144" s="379">
        <f t="shared" si="28"/>
        <v>34265.700224265267</v>
      </c>
      <c r="U144" s="379">
        <f t="shared" si="28"/>
        <v>34951.014228750573</v>
      </c>
      <c r="V144" s="379">
        <f t="shared" si="28"/>
        <v>35650.034513325591</v>
      </c>
      <c r="W144" s="379">
        <f t="shared" si="28"/>
        <v>36363.035203592095</v>
      </c>
      <c r="X144" s="379">
        <f t="shared" si="28"/>
        <v>37090.295907663945</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1760000</v>
      </c>
      <c r="F145" s="379">
        <f t="shared" si="29"/>
        <v>1760000</v>
      </c>
      <c r="G145" s="379">
        <f t="shared" si="29"/>
        <v>1760000</v>
      </c>
      <c r="H145" s="379">
        <f t="shared" si="29"/>
        <v>1760000</v>
      </c>
      <c r="I145" s="379">
        <f t="shared" si="29"/>
        <v>1760000</v>
      </c>
      <c r="J145" s="379">
        <f t="shared" si="29"/>
        <v>1760000</v>
      </c>
      <c r="K145" s="379">
        <f t="shared" si="29"/>
        <v>1760000</v>
      </c>
      <c r="L145" s="379">
        <f t="shared" si="29"/>
        <v>1760000</v>
      </c>
      <c r="M145" s="379">
        <f t="shared" si="29"/>
        <v>1760000</v>
      </c>
      <c r="N145" s="379">
        <f t="shared" si="29"/>
        <v>1760000</v>
      </c>
      <c r="O145" s="379">
        <f t="shared" si="29"/>
        <v>1760000</v>
      </c>
      <c r="P145" s="379">
        <f t="shared" si="29"/>
        <v>1760000</v>
      </c>
      <c r="Q145" s="379">
        <f t="shared" si="29"/>
        <v>1760000</v>
      </c>
      <c r="R145" s="379">
        <f t="shared" si="29"/>
        <v>1760000</v>
      </c>
      <c r="S145" s="379">
        <f t="shared" si="29"/>
        <v>1760000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2255679.9999999995</v>
      </c>
      <c r="E146" s="123">
        <f>IF(E112&lt;=$C76,D146-($C$5*E118+E132+E135),D146-(E132+E135))</f>
        <v>2106001.3599999994</v>
      </c>
      <c r="F146" s="123">
        <f t="shared" ref="F146:AR146" si="30">IF(F112&lt;=$C76,E146-($C$5*F118+F132+F135),E146-(F132+F135))</f>
        <v>1953690.6706984413</v>
      </c>
      <c r="G146" s="123">
        <f t="shared" si="30"/>
        <v>1798597.8957535012</v>
      </c>
      <c r="H146" s="123">
        <f t="shared" si="30"/>
        <v>1640565.3718171185</v>
      </c>
      <c r="I146" s="123">
        <f>IF(I112&lt;=$C76,H146-($C$5*I118+I132+I135),H146-(I132+I135))</f>
        <v>1479427.4362465995</v>
      </c>
      <c r="J146" s="123">
        <f t="shared" si="30"/>
        <v>1315010.0369324109</v>
      </c>
      <c r="K146" s="123">
        <f>IF(K112&lt;=$C76,J146-($C$5*K118+K132+K135),J146-(K132+K135))</f>
        <v>1147130.3233886783</v>
      </c>
      <c r="L146" s="123">
        <f t="shared" si="30"/>
        <v>975596.21821228671</v>
      </c>
      <c r="M146" s="123">
        <f t="shared" si="30"/>
        <v>800205.9679739296</v>
      </c>
      <c r="N146" s="123">
        <f t="shared" si="30"/>
        <v>620747.67255987297</v>
      </c>
      <c r="O146" s="123">
        <f t="shared" si="30"/>
        <v>436998.79193651478</v>
      </c>
      <c r="P146" s="123">
        <f t="shared" si="30"/>
        <v>248725.62926090162</v>
      </c>
      <c r="Q146" s="123">
        <f t="shared" si="30"/>
        <v>55682.789209129638</v>
      </c>
      <c r="R146" s="123">
        <f t="shared" si="30"/>
        <v>-142387.38965911887</v>
      </c>
      <c r="S146" s="123">
        <f t="shared" si="30"/>
        <v>-345755.42973787576</v>
      </c>
      <c r="T146" s="123">
        <f t="shared" si="30"/>
        <v>-388058.76334807981</v>
      </c>
      <c r="U146" s="123">
        <f t="shared" si="30"/>
        <v>-431208.16363048792</v>
      </c>
      <c r="V146" s="123">
        <f t="shared" si="30"/>
        <v>-475220.55191854422</v>
      </c>
      <c r="W146" s="123">
        <f t="shared" si="30"/>
        <v>-520113.18797236163</v>
      </c>
      <c r="X146" s="123">
        <f t="shared" si="30"/>
        <v>-565903.67674725538</v>
      </c>
      <c r="Y146" s="123">
        <f t="shared" si="30"/>
        <v>-565903.67674725538</v>
      </c>
      <c r="Z146" s="123">
        <f t="shared" si="30"/>
        <v>-565903.67674725538</v>
      </c>
      <c r="AA146" s="123">
        <f>IF(AA112&lt;=$C76,Z146-($C$5*AA118+AA132+AA135),Z146-(AA132+AA135))</f>
        <v>-565903.67674725538</v>
      </c>
      <c r="AB146" s="123">
        <f t="shared" si="30"/>
        <v>-565903.67674725538</v>
      </c>
      <c r="AC146" s="123">
        <f t="shared" si="30"/>
        <v>-565903.67674725538</v>
      </c>
      <c r="AD146" s="123">
        <f t="shared" si="30"/>
        <v>-565903.67674725538</v>
      </c>
      <c r="AE146" s="123">
        <f>IF(AE112&lt;=$C76,AD146-($C$5*AE118+AE132+AE135),AD146-(AE132+AE135))</f>
        <v>-565903.67674725538</v>
      </c>
      <c r="AF146" s="123">
        <f t="shared" si="30"/>
        <v>-565903.67674725538</v>
      </c>
      <c r="AG146" s="123">
        <f>IF(AG112&lt;=$C76,AF146-($C$5*AG118+AG132+AG135),AF146-(AG132+AG135))</f>
        <v>-565903.67674725538</v>
      </c>
      <c r="AH146" s="123">
        <f t="shared" si="30"/>
        <v>-565903.67674725538</v>
      </c>
      <c r="AI146" s="123">
        <f t="shared" si="30"/>
        <v>-565903.67674725538</v>
      </c>
      <c r="AJ146" s="123">
        <f t="shared" si="30"/>
        <v>-565903.67674725538</v>
      </c>
      <c r="AK146" s="123">
        <f t="shared" si="30"/>
        <v>-565903.67674725538</v>
      </c>
      <c r="AL146" s="123">
        <f t="shared" si="30"/>
        <v>-565903.67674725538</v>
      </c>
      <c r="AM146" s="123">
        <f t="shared" si="30"/>
        <v>-565903.67674725538</v>
      </c>
      <c r="AN146" s="123">
        <f t="shared" si="30"/>
        <v>-565903.67674725538</v>
      </c>
      <c r="AO146" s="123">
        <f t="shared" si="30"/>
        <v>-565903.67674725538</v>
      </c>
      <c r="AP146" s="123">
        <f t="shared" si="30"/>
        <v>-565903.67674725538</v>
      </c>
      <c r="AQ146" s="123">
        <f t="shared" si="30"/>
        <v>-565903.67674725538</v>
      </c>
      <c r="AR146" s="387">
        <f t="shared" si="30"/>
        <v>-565903.67674725538</v>
      </c>
    </row>
    <row r="147" spans="1:44" ht="13" thickBot="1" x14ac:dyDescent="0.3">
      <c r="B147" s="124" t="s">
        <v>473</v>
      </c>
      <c r="C147" s="125"/>
      <c r="D147" s="125"/>
      <c r="E147" s="126">
        <f t="shared" ref="E147:AR147" si="31">IF(E112&gt;$C$74,"",(-$C$94*(E139+$C$5*E118)+E132+$C$5*E118)/-E137)</f>
        <v>1.5031385440583047</v>
      </c>
      <c r="F147" s="126">
        <f t="shared" si="31"/>
        <v>1.4937131177022829</v>
      </c>
      <c r="G147" s="126">
        <f t="shared" si="31"/>
        <v>1.4839754544097472</v>
      </c>
      <c r="H147" s="126">
        <f t="shared" si="31"/>
        <v>1.4739134323425211</v>
      </c>
      <c r="I147" s="126">
        <f t="shared" si="31"/>
        <v>1.4635144080634412</v>
      </c>
      <c r="J147" s="126">
        <f t="shared" si="31"/>
        <v>1.4527651928441709</v>
      </c>
      <c r="K147" s="126">
        <f t="shared" si="31"/>
        <v>1.441652027869313</v>
      </c>
      <c r="L147" s="126">
        <f t="shared" si="31"/>
        <v>1.4301605582848231</v>
      </c>
      <c r="M147" s="126">
        <f t="shared" si="31"/>
        <v>1.4182758060362768</v>
      </c>
      <c r="N147" s="126">
        <f t="shared" si="31"/>
        <v>1.405982141439956</v>
      </c>
      <c r="O147" s="126">
        <f t="shared" si="31"/>
        <v>1.3932632534270224</v>
      </c>
      <c r="P147" s="126">
        <f t="shared" si="31"/>
        <v>1.3801021183982209</v>
      </c>
      <c r="Q147" s="126">
        <f t="shared" si="31"/>
        <v>1.3664809676235923</v>
      </c>
      <c r="R147" s="126">
        <f t="shared" si="31"/>
        <v>1.352381253118571</v>
      </c>
      <c r="S147" s="126">
        <f t="shared" si="31"/>
        <v>1.3377836119245921</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-1381328.4717703774</v>
      </c>
      <c r="D150" s="57" t="s">
        <v>476</v>
      </c>
    </row>
    <row r="151" spans="1:44" x14ac:dyDescent="0.25">
      <c r="B151" s="26" t="s">
        <v>477</v>
      </c>
      <c r="C151" s="153">
        <f>(1-$C$94)*NPV($C$91,E145:AR145)</f>
        <v>13404444.719310438</v>
      </c>
      <c r="D151" s="58" t="str">
        <f>$C$7</f>
        <v>kWh</v>
      </c>
      <c r="F151" s="59"/>
    </row>
    <row r="152" spans="1:44" x14ac:dyDescent="0.25">
      <c r="B152" s="26" t="s">
        <v>478</v>
      </c>
      <c r="C152" s="153">
        <f>$C$41*1000000</f>
        <v>2255679.9999999995</v>
      </c>
      <c r="D152" s="57" t="s">
        <v>424</v>
      </c>
      <c r="F152" s="60"/>
    </row>
    <row r="153" spans="1:44" x14ac:dyDescent="0.25">
      <c r="B153" s="26" t="s">
        <v>479</v>
      </c>
      <c r="C153" s="154">
        <f>AVERAGE(E147:AR147)</f>
        <v>1.4264734591695225</v>
      </c>
      <c r="D153" s="57"/>
      <c r="F153" s="60"/>
    </row>
    <row r="154" spans="1:44" x14ac:dyDescent="0.25">
      <c r="B154" s="26" t="s">
        <v>480</v>
      </c>
      <c r="C154" s="155" t="str">
        <f>CONCATENATE(ROUND(((1-$C$94)*$C$90*$C$92+$C$93*$C$91)*100,1),"% / ",ROUND((((1+(1-$C$94)*$C$90*$C$92+$C$93*$C$91)/(1+$C$89))-1)*100,1),"%")</f>
        <v>4.6% / 2.6%</v>
      </c>
      <c r="D154" s="57"/>
      <c r="F154" s="59"/>
      <c r="G154" s="61"/>
    </row>
    <row r="155" spans="1:44" x14ac:dyDescent="0.25">
      <c r="B155" s="26" t="s">
        <v>481</v>
      </c>
      <c r="C155" s="156">
        <f>IFERROR(IRR(D143:AR143),"n.v.t.")</f>
        <v>-0.14213357193338383</v>
      </c>
      <c r="D155" s="57"/>
      <c r="F155" s="60"/>
      <c r="G155" s="61"/>
    </row>
    <row r="156" spans="1:44" x14ac:dyDescent="0.25">
      <c r="B156" s="26" t="s">
        <v>482</v>
      </c>
      <c r="C156" s="156" t="str">
        <f>IFERROR(IRR(D144:AR144),"n.v.t.")</f>
        <v>n.v.t.</v>
      </c>
      <c r="D156" s="57"/>
      <c r="G156" s="61"/>
    </row>
    <row r="157" spans="1:44" x14ac:dyDescent="0.25">
      <c r="B157" s="38" t="s">
        <v>483</v>
      </c>
      <c r="C157" s="153">
        <f>$C$92*C152-C97</f>
        <v>1578975.9999999995</v>
      </c>
      <c r="D157" s="57" t="s">
        <v>424</v>
      </c>
      <c r="F157" s="35"/>
    </row>
    <row r="158" spans="1:44" x14ac:dyDescent="0.25">
      <c r="B158" s="38" t="s">
        <v>484</v>
      </c>
      <c r="C158" s="153">
        <f>$C$93*C152-C98</f>
        <v>676703.99999999988</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1760</v>
      </c>
      <c r="D160" s="57" t="s">
        <v>340</v>
      </c>
      <c r="F160" s="35"/>
    </row>
    <row r="161" spans="2:44" x14ac:dyDescent="0.25">
      <c r="B161" s="43" t="s">
        <v>487</v>
      </c>
      <c r="C161" s="461" t="str">
        <f>CONCATENATE( "tussen ", INDEX(D112:X112, MATCH(0,D146:X146, -1)), " en ",  1 + INDEX(D112:X112, MATCH(0,D146:X146, -1)), " jaar")</f>
        <v>tussen 13 en 14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32" priority="3" operator="containsText" text="Pas op">
      <formula>NOT(ISERROR(SEARCH("Pas op",G1)))</formula>
    </cfRule>
  </conditionalFormatting>
  <conditionalFormatting sqref="G105">
    <cfRule type="containsText" dxfId="31" priority="1" operator="containsText" text="Pas op">
      <formula>NOT(ISERROR(SEARCH("Pas op",G105)))</formula>
    </cfRule>
  </conditionalFormatting>
  <conditionalFormatting sqref="G184:G1048576">
    <cfRule type="containsText" dxfId="30" priority="2" operator="containsText" text="Pas op">
      <formula>NOT(ISERROR(SEARCH("Pas op",G184)))</formula>
    </cfRule>
  </conditionalFormatting>
  <dataValidations count="3">
    <dataValidation type="list" allowBlank="1" showInputMessage="1" showErrorMessage="1" sqref="C14" xr:uid="{E35232F3-5038-418C-B630-7AEB6BE5695A}">
      <formula1>"Nee,Ja,Geen warmte"</formula1>
    </dataValidation>
    <dataValidation type="list" allowBlank="1" showInputMessage="1" showErrorMessage="1" sqref="C7" xr:uid="{67A9DA46-4836-4985-8AF5-401FAFF04F3E}">
      <formula1>"t CO2,kWh"</formula1>
    </dataValidation>
    <dataValidation type="list" allowBlank="1" showInputMessage="1" showErrorMessage="1" sqref="C37361 C102897 C168433 C233969 C299505 C365041 C430577 C496113 C561649 C627185 C692721 C758257 C823793 C889329 C954865" xr:uid="{1D6DA54D-9612-425F-AC30-F15B24D14DEC}">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7F0AB6D4-C568-425E-ACEA-3B56FE67283D}">
          <x14:formula1>
            <xm:f>Correcties!$A$8:$A$8</xm:f>
          </x14:formula1>
          <xm:sqref>C15</xm:sqref>
        </x14:dataValidation>
        <x14:dataValidation type="list" allowBlank="1" showInputMessage="1" showErrorMessage="1" xr:uid="{C1F074A9-EC10-4F60-9F0F-FB1F56F64FF7}">
          <x14:formula1>
            <xm:f>Correcties!$A$27:$A$38</xm:f>
          </x14:formula1>
          <xm:sqref>C13</xm:sqref>
        </x14:dataValidation>
        <x14:dataValidation type="list" allowBlank="1" showInputMessage="1" showErrorMessage="1" xr:uid="{DE21212C-697A-4F09-8373-D4D850E031ED}">
          <x14:formula1>
            <xm:f>Colofon!$B$34:$B$39</xm:f>
          </x14:formula1>
          <xm:sqref>C9</xm:sqref>
        </x14:dataValidation>
        <x14:dataValidation type="list" allowBlank="1" showInputMessage="1" showErrorMessage="1" xr:uid="{690B44B6-A2D8-41B8-9447-916AEDC96461}">
          <x14:formula1>
            <xm:f>Correcties!$A$10:$A$10</xm:f>
          </x14:formula1>
          <xm:sqref>C16</xm:sqref>
        </x14:dataValidation>
        <x14:dataValidation type="list" allowBlank="1" showInputMessage="1" showErrorMessage="1" xr:uid="{C6BDF99C-F162-4028-970A-DB43F27ACEDE}">
          <x14:formula1>
            <xm:f>Correcties!$A$4:$A$10</xm:f>
          </x14:formula1>
          <xm:sqref>C12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A6865-D725-4F73-80CC-8F9DAB52C7BB}">
  <sheetPr codeName="Sheet101">
    <tabColor theme="5" tint="0.59999389629810485"/>
    <pageSetUpPr fitToPage="1"/>
  </sheetPr>
  <dimension ref="A1:AR198"/>
  <sheetViews>
    <sheetView showGridLines="0" topLeftCell="A95"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516</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0.16470000000000001</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1063.1290027447394</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IFERROR(INDEX(Correcties!$A$1:$I$301,MATCH('12'!C12,Correcties!$A$1:$A$301,0),5),"")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1000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1630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2240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2.2556799999999995</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13.8</v>
      </c>
      <c r="D43" s="99" t="str">
        <f>CONCATENATE("Euro/",$C$8,"/jaar")</f>
        <v>Euro/kW/jaar</v>
      </c>
      <c r="E43" s="447" t="s">
        <v>357</v>
      </c>
      <c r="F43" s="447"/>
      <c r="G43" s="447"/>
      <c r="H43" s="447"/>
      <c r="I43" s="447"/>
      <c r="J43" s="447"/>
      <c r="K43" s="447"/>
      <c r="L43" s="447"/>
      <c r="M43" s="448"/>
    </row>
    <row r="44" spans="2:13" x14ac:dyDescent="0.25">
      <c r="B44" s="96" t="s">
        <v>359</v>
      </c>
      <c r="C44" s="348">
        <f>(C42*C21+C43*SUM(C26,C28))/1000</f>
        <v>13.8</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1.7999999999999999E-2</v>
      </c>
      <c r="D48" s="99" t="str">
        <f>CONCATENATE("Euro/",$C$7)</f>
        <v>Euro/kWh</v>
      </c>
      <c r="E48" s="447"/>
      <c r="F48" s="447"/>
      <c r="G48" s="447"/>
      <c r="H48" s="447"/>
      <c r="I48" s="447"/>
      <c r="J48" s="447"/>
      <c r="K48" s="447"/>
      <c r="L48" s="447"/>
      <c r="M48" s="448"/>
    </row>
    <row r="49" spans="2:13" x14ac:dyDescent="0.25">
      <c r="B49" s="97" t="s">
        <v>366</v>
      </c>
      <c r="C49" s="142">
        <f>SUM(C45:C48)</f>
        <v>1.7999999999999999E-2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1630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24450000</v>
      </c>
      <c r="D84" s="98" t="str">
        <f>C7</f>
        <v>kWh</v>
      </c>
      <c r="E84" s="447"/>
      <c r="F84" s="447"/>
      <c r="G84" s="447"/>
      <c r="H84" s="447"/>
      <c r="I84" s="447"/>
      <c r="J84" s="447"/>
      <c r="K84" s="447"/>
      <c r="L84" s="447"/>
      <c r="M84" s="448"/>
    </row>
    <row r="85" spans="2:13" x14ac:dyDescent="0.25">
      <c r="B85" s="113" t="s">
        <v>413</v>
      </c>
      <c r="C85" s="145">
        <f>IF(C77=0,SUM(E118:INDEX(E118:AR118,1,C73)),SUM(E118:INDEX(E118:AR118,1,C77)))</f>
        <v>32600000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4.7500000000000001E-2</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-2255679.9999999995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1630000</v>
      </c>
      <c r="F115" s="379">
        <f t="shared" si="4"/>
        <v>1630000</v>
      </c>
      <c r="G115" s="379">
        <f t="shared" si="4"/>
        <v>1630000</v>
      </c>
      <c r="H115" s="379">
        <f t="shared" si="4"/>
        <v>1630000</v>
      </c>
      <c r="I115" s="379">
        <f t="shared" si="4"/>
        <v>1630000</v>
      </c>
      <c r="J115" s="379">
        <f t="shared" si="4"/>
        <v>1630000</v>
      </c>
      <c r="K115" s="379">
        <f t="shared" si="4"/>
        <v>1630000</v>
      </c>
      <c r="L115" s="379">
        <f t="shared" si="4"/>
        <v>1630000</v>
      </c>
      <c r="M115" s="379">
        <f t="shared" si="4"/>
        <v>1630000</v>
      </c>
      <c r="N115" s="379">
        <f t="shared" si="4"/>
        <v>1630000</v>
      </c>
      <c r="O115" s="379">
        <f t="shared" si="4"/>
        <v>1630000</v>
      </c>
      <c r="P115" s="379">
        <f t="shared" si="4"/>
        <v>1630000</v>
      </c>
      <c r="Q115" s="379">
        <f t="shared" si="4"/>
        <v>1630000</v>
      </c>
      <c r="R115" s="379">
        <f t="shared" si="4"/>
        <v>1630000</v>
      </c>
      <c r="S115" s="379">
        <f t="shared" si="4"/>
        <v>1630000</v>
      </c>
      <c r="T115" s="379">
        <f t="shared" si="4"/>
        <v>1630000</v>
      </c>
      <c r="U115" s="379">
        <f t="shared" si="4"/>
        <v>1630000</v>
      </c>
      <c r="V115" s="379">
        <f t="shared" si="4"/>
        <v>1630000</v>
      </c>
      <c r="W115" s="379">
        <f t="shared" si="4"/>
        <v>1630000</v>
      </c>
      <c r="X115" s="379">
        <f t="shared" si="4"/>
        <v>1630000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1630000</v>
      </c>
      <c r="F118" s="150">
        <f t="shared" ref="F118:AR118" si="7">SUM(F115:F117)</f>
        <v>1630000</v>
      </c>
      <c r="G118" s="150">
        <f t="shared" si="7"/>
        <v>1630000</v>
      </c>
      <c r="H118" s="150">
        <f t="shared" si="7"/>
        <v>1630000</v>
      </c>
      <c r="I118" s="150">
        <f t="shared" si="7"/>
        <v>1630000</v>
      </c>
      <c r="J118" s="150">
        <f t="shared" si="7"/>
        <v>1630000</v>
      </c>
      <c r="K118" s="150">
        <f t="shared" si="7"/>
        <v>1630000</v>
      </c>
      <c r="L118" s="150">
        <f t="shared" si="7"/>
        <v>1630000</v>
      </c>
      <c r="M118" s="150">
        <f t="shared" si="7"/>
        <v>1630000</v>
      </c>
      <c r="N118" s="150">
        <f t="shared" si="7"/>
        <v>1630000</v>
      </c>
      <c r="O118" s="150">
        <f t="shared" si="7"/>
        <v>1630000</v>
      </c>
      <c r="P118" s="150">
        <f t="shared" si="7"/>
        <v>1630000</v>
      </c>
      <c r="Q118" s="150">
        <f t="shared" si="7"/>
        <v>1630000</v>
      </c>
      <c r="R118" s="150">
        <f t="shared" si="7"/>
        <v>1630000</v>
      </c>
      <c r="S118" s="150">
        <f t="shared" si="7"/>
        <v>1630000</v>
      </c>
      <c r="T118" s="150">
        <f t="shared" si="7"/>
        <v>1630000</v>
      </c>
      <c r="U118" s="150">
        <f t="shared" si="7"/>
        <v>1630000</v>
      </c>
      <c r="V118" s="150">
        <f t="shared" si="7"/>
        <v>1630000</v>
      </c>
      <c r="W118" s="150">
        <f t="shared" si="7"/>
        <v>1630000</v>
      </c>
      <c r="X118" s="150">
        <f t="shared" si="7"/>
        <v>1630000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-43140</v>
      </c>
      <c r="F120" s="379">
        <f t="shared" ref="F120:AR120" si="8">IF(F112&gt;$C$73,0,-F109*(($C$42*$C$21+$C$43*SUM($C$26,$C$28))+F118*$C$49))+IF($C$101=F112,$D$101*F109,0)+IF($C$102=F112,$D$102*F109,0)+IF($C$103=F112,$D$103*F109,0)</f>
        <v>-44002.8</v>
      </c>
      <c r="G120" s="379">
        <f t="shared" si="8"/>
        <v>-44882.856</v>
      </c>
      <c r="H120" s="379">
        <f t="shared" si="8"/>
        <v>-45780.513119999996</v>
      </c>
      <c r="I120" s="379">
        <f t="shared" si="8"/>
        <v>-46696.123382400001</v>
      </c>
      <c r="J120" s="379">
        <f t="shared" si="8"/>
        <v>-47630.045850048002</v>
      </c>
      <c r="K120" s="379">
        <f t="shared" si="8"/>
        <v>-48582.646767048966</v>
      </c>
      <c r="L120" s="379">
        <f t="shared" si="8"/>
        <v>-49554.29970238993</v>
      </c>
      <c r="M120" s="379">
        <f t="shared" si="8"/>
        <v>-50545.385696437734</v>
      </c>
      <c r="N120" s="379">
        <f t="shared" si="8"/>
        <v>-51556.293410366488</v>
      </c>
      <c r="O120" s="379">
        <f t="shared" si="8"/>
        <v>-52587.41927857382</v>
      </c>
      <c r="P120" s="379">
        <f t="shared" si="8"/>
        <v>-53639.167664145287</v>
      </c>
      <c r="Q120" s="379">
        <f t="shared" si="8"/>
        <v>-54711.951017428204</v>
      </c>
      <c r="R120" s="379">
        <f t="shared" si="8"/>
        <v>-55806.190037776767</v>
      </c>
      <c r="S120" s="379">
        <f t="shared" si="8"/>
        <v>-56922.313838532304</v>
      </c>
      <c r="T120" s="379">
        <f t="shared" si="8"/>
        <v>-58060.760115302932</v>
      </c>
      <c r="U120" s="379">
        <f t="shared" si="8"/>
        <v>-59221.975317609002</v>
      </c>
      <c r="V120" s="379">
        <f t="shared" si="8"/>
        <v>-60406.41482396119</v>
      </c>
      <c r="W120" s="379">
        <f t="shared" si="8"/>
        <v>-61614.543120440409</v>
      </c>
      <c r="X120" s="379">
        <f t="shared" si="8"/>
        <v>-62846.83398284921</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95867.547607166052</v>
      </c>
      <c r="U127" s="379">
        <f t="shared" si="15"/>
        <v>97784.898559309397</v>
      </c>
      <c r="V127" s="379">
        <f t="shared" si="15"/>
        <v>99740.59653049559</v>
      </c>
      <c r="W127" s="379">
        <f t="shared" si="15"/>
        <v>101735.40846110549</v>
      </c>
      <c r="X127" s="379">
        <f t="shared" si="15"/>
        <v>103770.1166303276</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95867.547607166052</v>
      </c>
      <c r="U130" s="379">
        <f t="shared" si="17"/>
        <v>97784.898559309397</v>
      </c>
      <c r="V130" s="379">
        <f t="shared" si="17"/>
        <v>99740.59653049559</v>
      </c>
      <c r="W130" s="379">
        <f t="shared" si="17"/>
        <v>101735.40846110549</v>
      </c>
      <c r="X130" s="379">
        <f t="shared" si="17"/>
        <v>103770.1166303276</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-43140</v>
      </c>
      <c r="F131" s="379">
        <f t="shared" si="18"/>
        <v>-44002.8</v>
      </c>
      <c r="G131" s="379">
        <f t="shared" si="18"/>
        <v>-44882.856</v>
      </c>
      <c r="H131" s="379">
        <f t="shared" si="18"/>
        <v>-45780.513119999996</v>
      </c>
      <c r="I131" s="379">
        <f t="shared" si="18"/>
        <v>-46696.123382400001</v>
      </c>
      <c r="J131" s="379">
        <f t="shared" si="18"/>
        <v>-47630.045850048002</v>
      </c>
      <c r="K131" s="379">
        <f t="shared" si="18"/>
        <v>-48582.646767048966</v>
      </c>
      <c r="L131" s="379">
        <f t="shared" si="18"/>
        <v>-49554.29970238993</v>
      </c>
      <c r="M131" s="379">
        <f t="shared" si="18"/>
        <v>-50545.385696437734</v>
      </c>
      <c r="N131" s="379">
        <f t="shared" si="18"/>
        <v>-51556.293410366488</v>
      </c>
      <c r="O131" s="379">
        <f t="shared" si="18"/>
        <v>-52587.41927857382</v>
      </c>
      <c r="P131" s="379">
        <f t="shared" si="18"/>
        <v>-53639.167664145287</v>
      </c>
      <c r="Q131" s="379">
        <f t="shared" si="18"/>
        <v>-54711.951017428204</v>
      </c>
      <c r="R131" s="379">
        <f t="shared" si="18"/>
        <v>-55806.190037776767</v>
      </c>
      <c r="S131" s="379">
        <f t="shared" si="18"/>
        <v>-56922.313838532304</v>
      </c>
      <c r="T131" s="379">
        <f t="shared" si="18"/>
        <v>-58060.760115302932</v>
      </c>
      <c r="U131" s="379">
        <f t="shared" si="18"/>
        <v>-59221.975317609002</v>
      </c>
      <c r="V131" s="379">
        <f t="shared" si="18"/>
        <v>-60406.41482396119</v>
      </c>
      <c r="W131" s="379">
        <f t="shared" si="18"/>
        <v>-61614.543120440409</v>
      </c>
      <c r="X131" s="379">
        <f t="shared" si="18"/>
        <v>-62846.83398284921</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-43140</v>
      </c>
      <c r="F132" s="386">
        <f t="shared" ref="F132:AR132" si="19">SUM(F130:F131)</f>
        <v>-44002.8</v>
      </c>
      <c r="G132" s="386">
        <f t="shared" si="19"/>
        <v>-44882.856</v>
      </c>
      <c r="H132" s="386">
        <f t="shared" si="19"/>
        <v>-45780.513119999996</v>
      </c>
      <c r="I132" s="386">
        <f t="shared" si="19"/>
        <v>-46696.123382400001</v>
      </c>
      <c r="J132" s="386">
        <f t="shared" si="19"/>
        <v>-47630.045850048002</v>
      </c>
      <c r="K132" s="386">
        <f t="shared" si="19"/>
        <v>-48582.646767048966</v>
      </c>
      <c r="L132" s="386">
        <f t="shared" si="19"/>
        <v>-49554.29970238993</v>
      </c>
      <c r="M132" s="386">
        <f t="shared" si="19"/>
        <v>-50545.385696437734</v>
      </c>
      <c r="N132" s="386">
        <f t="shared" si="19"/>
        <v>-51556.293410366488</v>
      </c>
      <c r="O132" s="386">
        <f t="shared" si="19"/>
        <v>-52587.41927857382</v>
      </c>
      <c r="P132" s="386">
        <f t="shared" si="19"/>
        <v>-53639.167664145287</v>
      </c>
      <c r="Q132" s="386">
        <f t="shared" si="19"/>
        <v>-54711.951017428204</v>
      </c>
      <c r="R132" s="386">
        <f t="shared" si="19"/>
        <v>-55806.190037776767</v>
      </c>
      <c r="S132" s="386">
        <f t="shared" si="19"/>
        <v>-56922.313838532304</v>
      </c>
      <c r="T132" s="386">
        <f t="shared" si="19"/>
        <v>37806.787491863121</v>
      </c>
      <c r="U132" s="386">
        <f t="shared" si="19"/>
        <v>38562.923241700395</v>
      </c>
      <c r="V132" s="386">
        <f t="shared" si="19"/>
        <v>39334.1817065344</v>
      </c>
      <c r="W132" s="386">
        <f t="shared" si="19"/>
        <v>40120.865340665077</v>
      </c>
      <c r="X132" s="386">
        <f t="shared" si="19"/>
        <v>40923.282647478387</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-150378.66666666663</v>
      </c>
      <c r="F134" s="379">
        <f t="shared" si="20"/>
        <v>-150378.66666666663</v>
      </c>
      <c r="G134" s="379">
        <f t="shared" si="20"/>
        <v>-150378.66666666663</v>
      </c>
      <c r="H134" s="379">
        <f t="shared" si="20"/>
        <v>-150378.66666666663</v>
      </c>
      <c r="I134" s="379">
        <f t="shared" si="20"/>
        <v>-150378.66666666663</v>
      </c>
      <c r="J134" s="379">
        <f t="shared" si="20"/>
        <v>-150378.66666666663</v>
      </c>
      <c r="K134" s="379">
        <f t="shared" si="20"/>
        <v>-150378.66666666663</v>
      </c>
      <c r="L134" s="379">
        <f t="shared" si="20"/>
        <v>-150378.66666666663</v>
      </c>
      <c r="M134" s="379">
        <f t="shared" si="20"/>
        <v>-150378.66666666663</v>
      </c>
      <c r="N134" s="379">
        <f t="shared" si="20"/>
        <v>-150378.66666666663</v>
      </c>
      <c r="O134" s="379">
        <f t="shared" si="20"/>
        <v>-150378.66666666663</v>
      </c>
      <c r="P134" s="379">
        <f t="shared" si="20"/>
        <v>-150378.66666666663</v>
      </c>
      <c r="Q134" s="379">
        <f t="shared" si="20"/>
        <v>-150378.66666666663</v>
      </c>
      <c r="R134" s="379">
        <f t="shared" si="20"/>
        <v>-150378.66666666663</v>
      </c>
      <c r="S134" s="379">
        <f t="shared" si="20"/>
        <v>-150378.66666666663</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-75001.359999999986</v>
      </c>
      <c r="F135" s="379">
        <f t="shared" si="21"/>
        <v>-71459.710698441966</v>
      </c>
      <c r="G135" s="379">
        <f t="shared" si="21"/>
        <v>-67749.833055059949</v>
      </c>
      <c r="H135" s="379">
        <f t="shared" si="21"/>
        <v>-63863.736223617292</v>
      </c>
      <c r="I135" s="379">
        <f t="shared" si="21"/>
        <v>-59793.049792681115</v>
      </c>
      <c r="J135" s="379">
        <f t="shared" si="21"/>
        <v>-55529.005756275466</v>
      </c>
      <c r="K135" s="379">
        <f t="shared" si="21"/>
        <v>-51062.419628140538</v>
      </c>
      <c r="L135" s="379">
        <f t="shared" si="21"/>
        <v>-46383.670658919211</v>
      </c>
      <c r="M135" s="379">
        <f t="shared" si="21"/>
        <v>-41482.681113659884</v>
      </c>
      <c r="N135" s="379">
        <f t="shared" si="21"/>
        <v>-36348.894565000723</v>
      </c>
      <c r="O135" s="379">
        <f t="shared" si="21"/>
        <v>-30971.25315528025</v>
      </c>
      <c r="P135" s="379">
        <f t="shared" si="21"/>
        <v>-25338.173778598062</v>
      </c>
      <c r="Q135" s="379">
        <f t="shared" si="21"/>
        <v>-19437.523131523463</v>
      </c>
      <c r="R135" s="379">
        <f t="shared" si="21"/>
        <v>-13256.591578712823</v>
      </c>
      <c r="S135" s="379">
        <f t="shared" si="21"/>
        <v>-6782.0657771436781</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-74561.037927536949</v>
      </c>
      <c r="F136" s="379">
        <f t="shared" si="22"/>
        <v>-78102.687229094954</v>
      </c>
      <c r="G136" s="379">
        <f t="shared" si="22"/>
        <v>-81812.564872476971</v>
      </c>
      <c r="H136" s="379">
        <f t="shared" si="22"/>
        <v>-85698.661703919614</v>
      </c>
      <c r="I136" s="379">
        <f t="shared" si="22"/>
        <v>-89769.348134855798</v>
      </c>
      <c r="J136" s="379">
        <f t="shared" si="22"/>
        <v>-94033.392171261439</v>
      </c>
      <c r="K136" s="379">
        <f t="shared" si="22"/>
        <v>-98499.978299396374</v>
      </c>
      <c r="L136" s="379">
        <f t="shared" si="22"/>
        <v>-103178.72726861769</v>
      </c>
      <c r="M136" s="379">
        <f t="shared" si="22"/>
        <v>-108079.71681387704</v>
      </c>
      <c r="N136" s="379">
        <f t="shared" si="22"/>
        <v>-113213.5033625362</v>
      </c>
      <c r="O136" s="379">
        <f t="shared" si="22"/>
        <v>-118591.14477225668</v>
      </c>
      <c r="P136" s="379">
        <f t="shared" si="22"/>
        <v>-124224.22414893885</v>
      </c>
      <c r="Q136" s="379">
        <f t="shared" si="22"/>
        <v>-130124.87479601348</v>
      </c>
      <c r="R136" s="379">
        <f t="shared" si="22"/>
        <v>-136305.80634882412</v>
      </c>
      <c r="S136" s="379">
        <f t="shared" si="22"/>
        <v>-142780.33215039322</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-149562.39792753692</v>
      </c>
      <c r="F137" s="386">
        <f t="shared" ref="F137:AR137" si="23">SUM(F135,F136)</f>
        <v>-149562.39792753692</v>
      </c>
      <c r="G137" s="386">
        <f t="shared" si="23"/>
        <v>-149562.39792753692</v>
      </c>
      <c r="H137" s="386">
        <f t="shared" si="23"/>
        <v>-149562.39792753692</v>
      </c>
      <c r="I137" s="386">
        <f t="shared" si="23"/>
        <v>-149562.39792753692</v>
      </c>
      <c r="J137" s="386">
        <f t="shared" si="23"/>
        <v>-149562.39792753692</v>
      </c>
      <c r="K137" s="386">
        <f t="shared" si="23"/>
        <v>-149562.39792753692</v>
      </c>
      <c r="L137" s="386">
        <f t="shared" si="23"/>
        <v>-149562.39792753689</v>
      </c>
      <c r="M137" s="386">
        <f t="shared" si="23"/>
        <v>-149562.39792753692</v>
      </c>
      <c r="N137" s="386">
        <f t="shared" si="23"/>
        <v>-149562.39792753692</v>
      </c>
      <c r="O137" s="386">
        <f t="shared" si="23"/>
        <v>-149562.39792753692</v>
      </c>
      <c r="P137" s="386">
        <f t="shared" si="23"/>
        <v>-149562.39792753692</v>
      </c>
      <c r="Q137" s="386">
        <f t="shared" si="23"/>
        <v>-149562.39792753695</v>
      </c>
      <c r="R137" s="386">
        <f t="shared" si="23"/>
        <v>-149562.39792753695</v>
      </c>
      <c r="S137" s="386">
        <f t="shared" si="23"/>
        <v>-149562.39792753689</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-268520.02666666661</v>
      </c>
      <c r="F139" s="379">
        <f t="shared" ref="F139:AR139" si="24">F132+F134+F135</f>
        <v>-265841.17736510857</v>
      </c>
      <c r="G139" s="379">
        <f t="shared" si="24"/>
        <v>-263011.35572172655</v>
      </c>
      <c r="H139" s="379">
        <f t="shared" si="24"/>
        <v>-260022.91601028392</v>
      </c>
      <c r="I139" s="379">
        <f t="shared" si="24"/>
        <v>-256867.83984174774</v>
      </c>
      <c r="J139" s="379">
        <f t="shared" si="24"/>
        <v>-253537.71827299011</v>
      </c>
      <c r="K139" s="379">
        <f t="shared" si="24"/>
        <v>-250023.73306185615</v>
      </c>
      <c r="L139" s="379">
        <f t="shared" si="24"/>
        <v>-246316.63702797575</v>
      </c>
      <c r="M139" s="379">
        <f t="shared" si="24"/>
        <v>-242406.73347676423</v>
      </c>
      <c r="N139" s="379">
        <f t="shared" si="24"/>
        <v>-238283.85464203384</v>
      </c>
      <c r="O139" s="379">
        <f t="shared" si="24"/>
        <v>-233937.33910052071</v>
      </c>
      <c r="P139" s="379">
        <f t="shared" si="24"/>
        <v>-229356.00810940997</v>
      </c>
      <c r="Q139" s="379">
        <f t="shared" si="24"/>
        <v>-224528.14081561827</v>
      </c>
      <c r="R139" s="379">
        <f t="shared" si="24"/>
        <v>-219441.44828315623</v>
      </c>
      <c r="S139" s="379">
        <f t="shared" si="24"/>
        <v>-214083.04628234261</v>
      </c>
      <c r="T139" s="379">
        <f t="shared" si="24"/>
        <v>37806.787491863121</v>
      </c>
      <c r="U139" s="379">
        <f t="shared" si="24"/>
        <v>38562.923241700395</v>
      </c>
      <c r="V139" s="379">
        <f t="shared" si="24"/>
        <v>39334.1817065344</v>
      </c>
      <c r="W139" s="379">
        <f t="shared" si="24"/>
        <v>40120.865340665077</v>
      </c>
      <c r="X139" s="379">
        <f t="shared" si="24"/>
        <v>40923.282647478387</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51018.80506666666</v>
      </c>
      <c r="F140" s="379">
        <f t="shared" si="25"/>
        <v>50509.82369937063</v>
      </c>
      <c r="G140" s="379">
        <f t="shared" si="25"/>
        <v>49972.157587128044</v>
      </c>
      <c r="H140" s="379">
        <f t="shared" si="25"/>
        <v>49404.354041953949</v>
      </c>
      <c r="I140" s="379">
        <f t="shared" si="25"/>
        <v>48804.889569932071</v>
      </c>
      <c r="J140" s="379">
        <f t="shared" si="25"/>
        <v>48172.16647186812</v>
      </c>
      <c r="K140" s="379">
        <f t="shared" si="25"/>
        <v>47504.509281752667</v>
      </c>
      <c r="L140" s="379">
        <f t="shared" si="25"/>
        <v>46800.161035315396</v>
      </c>
      <c r="M140" s="379">
        <f t="shared" si="25"/>
        <v>46057.279360585206</v>
      </c>
      <c r="N140" s="379">
        <f t="shared" si="25"/>
        <v>45273.932381986429</v>
      </c>
      <c r="O140" s="379">
        <f t="shared" si="25"/>
        <v>44448.094429098936</v>
      </c>
      <c r="P140" s="379">
        <f t="shared" si="25"/>
        <v>43577.641540787896</v>
      </c>
      <c r="Q140" s="379">
        <f t="shared" si="25"/>
        <v>42660.346754967475</v>
      </c>
      <c r="R140" s="379">
        <f t="shared" si="25"/>
        <v>41693.875173799686</v>
      </c>
      <c r="S140" s="379">
        <f t="shared" si="25"/>
        <v>40675.778793645099</v>
      </c>
      <c r="T140" s="379">
        <f t="shared" si="25"/>
        <v>-7183.289623453993</v>
      </c>
      <c r="U140" s="379">
        <f t="shared" si="25"/>
        <v>-7326.9554159230747</v>
      </c>
      <c r="V140" s="379">
        <f t="shared" si="25"/>
        <v>-7473.4945242415361</v>
      </c>
      <c r="W140" s="379">
        <f t="shared" si="25"/>
        <v>-7622.9644147263643</v>
      </c>
      <c r="X140" s="379">
        <f t="shared" si="25"/>
        <v>-7775.4237030208933</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-141683.59286087027</v>
      </c>
      <c r="F142" s="386">
        <f t="shared" si="26"/>
        <v>-143055.37422816627</v>
      </c>
      <c r="G142" s="386">
        <f t="shared" si="26"/>
        <v>-144473.09634040887</v>
      </c>
      <c r="H142" s="386">
        <f t="shared" si="26"/>
        <v>-145938.55700558296</v>
      </c>
      <c r="I142" s="386">
        <f t="shared" si="26"/>
        <v>-147453.63174000484</v>
      </c>
      <c r="J142" s="386">
        <f t="shared" si="26"/>
        <v>-149020.27730571682</v>
      </c>
      <c r="K142" s="386">
        <f t="shared" si="26"/>
        <v>-150640.53541283324</v>
      </c>
      <c r="L142" s="386">
        <f t="shared" si="26"/>
        <v>-152316.53659461142</v>
      </c>
      <c r="M142" s="386">
        <f t="shared" si="26"/>
        <v>-154050.50426338945</v>
      </c>
      <c r="N142" s="386">
        <f t="shared" si="26"/>
        <v>-155844.75895591697</v>
      </c>
      <c r="O142" s="386">
        <f t="shared" si="26"/>
        <v>-157701.7227770118</v>
      </c>
      <c r="P142" s="386">
        <f t="shared" si="26"/>
        <v>-159623.92405089433</v>
      </c>
      <c r="Q142" s="386">
        <f t="shared" si="26"/>
        <v>-161614.0021899977</v>
      </c>
      <c r="R142" s="386">
        <f t="shared" si="26"/>
        <v>-163674.71279151403</v>
      </c>
      <c r="S142" s="386">
        <f t="shared" si="26"/>
        <v>-165808.93297242411</v>
      </c>
      <c r="T142" s="386">
        <f t="shared" si="26"/>
        <v>30623.497868409126</v>
      </c>
      <c r="U142" s="386">
        <f t="shared" si="26"/>
        <v>31235.967825777319</v>
      </c>
      <c r="V142" s="386">
        <f t="shared" si="26"/>
        <v>31860.687182292866</v>
      </c>
      <c r="W142" s="386">
        <f t="shared" si="26"/>
        <v>32497.900925938713</v>
      </c>
      <c r="X142" s="386">
        <f t="shared" si="26"/>
        <v>33147.85894445749</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-2255679.9999999995</v>
      </c>
      <c r="E143" s="379">
        <f>E132+E140</f>
        <v>7878.8050666666604</v>
      </c>
      <c r="F143" s="379">
        <f t="shared" ref="F143:AR143" si="27">F132+F140</f>
        <v>6507.0236993706276</v>
      </c>
      <c r="G143" s="379">
        <f t="shared" si="27"/>
        <v>5089.301587128044</v>
      </c>
      <c r="H143" s="379">
        <f t="shared" si="27"/>
        <v>3623.8409219539535</v>
      </c>
      <c r="I143" s="379">
        <f t="shared" si="27"/>
        <v>2108.76618753207</v>
      </c>
      <c r="J143" s="379">
        <f t="shared" si="27"/>
        <v>542.12062182011869</v>
      </c>
      <c r="K143" s="379">
        <f t="shared" si="27"/>
        <v>-1078.1374852962981</v>
      </c>
      <c r="L143" s="379">
        <f t="shared" si="27"/>
        <v>-2754.1386670745342</v>
      </c>
      <c r="M143" s="379">
        <f t="shared" si="27"/>
        <v>-4488.106335852528</v>
      </c>
      <c r="N143" s="379">
        <f t="shared" si="27"/>
        <v>-6282.361028380059</v>
      </c>
      <c r="O143" s="379">
        <f t="shared" si="27"/>
        <v>-8139.3248494748841</v>
      </c>
      <c r="P143" s="379">
        <f t="shared" si="27"/>
        <v>-10061.526123357391</v>
      </c>
      <c r="Q143" s="379">
        <f t="shared" si="27"/>
        <v>-12051.604262460729</v>
      </c>
      <c r="R143" s="379">
        <f t="shared" si="27"/>
        <v>-14112.314863977081</v>
      </c>
      <c r="S143" s="379">
        <f t="shared" si="27"/>
        <v>-16246.535044887205</v>
      </c>
      <c r="T143" s="379">
        <f t="shared" si="27"/>
        <v>30623.497868409126</v>
      </c>
      <c r="U143" s="379">
        <f t="shared" si="27"/>
        <v>31235.967825777319</v>
      </c>
      <c r="V143" s="379">
        <f t="shared" si="27"/>
        <v>31860.687182292866</v>
      </c>
      <c r="W143" s="379">
        <f t="shared" si="27"/>
        <v>32497.900925938713</v>
      </c>
      <c r="X143" s="379">
        <f t="shared" si="27"/>
        <v>33147.85894445749</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-676703.99999999988</v>
      </c>
      <c r="E144" s="379">
        <f>E142</f>
        <v>-141683.59286087027</v>
      </c>
      <c r="F144" s="379">
        <f t="shared" ref="F144:AR144" si="28">F142</f>
        <v>-143055.37422816627</v>
      </c>
      <c r="G144" s="379">
        <f t="shared" si="28"/>
        <v>-144473.09634040887</v>
      </c>
      <c r="H144" s="379">
        <f t="shared" si="28"/>
        <v>-145938.55700558296</v>
      </c>
      <c r="I144" s="379">
        <f t="shared" si="28"/>
        <v>-147453.63174000484</v>
      </c>
      <c r="J144" s="379">
        <f t="shared" si="28"/>
        <v>-149020.27730571682</v>
      </c>
      <c r="K144" s="379">
        <f t="shared" si="28"/>
        <v>-150640.53541283324</v>
      </c>
      <c r="L144" s="379">
        <f t="shared" si="28"/>
        <v>-152316.53659461142</v>
      </c>
      <c r="M144" s="379">
        <f t="shared" si="28"/>
        <v>-154050.50426338945</v>
      </c>
      <c r="N144" s="379">
        <f t="shared" si="28"/>
        <v>-155844.75895591697</v>
      </c>
      <c r="O144" s="379">
        <f t="shared" si="28"/>
        <v>-157701.7227770118</v>
      </c>
      <c r="P144" s="379">
        <f t="shared" si="28"/>
        <v>-159623.92405089433</v>
      </c>
      <c r="Q144" s="379">
        <f t="shared" si="28"/>
        <v>-161614.0021899977</v>
      </c>
      <c r="R144" s="379">
        <f t="shared" si="28"/>
        <v>-163674.71279151403</v>
      </c>
      <c r="S144" s="379">
        <f t="shared" si="28"/>
        <v>-165808.93297242411</v>
      </c>
      <c r="T144" s="379">
        <f t="shared" si="28"/>
        <v>30623.497868409126</v>
      </c>
      <c r="U144" s="379">
        <f t="shared" si="28"/>
        <v>31235.967825777319</v>
      </c>
      <c r="V144" s="379">
        <f t="shared" si="28"/>
        <v>31860.687182292866</v>
      </c>
      <c r="W144" s="379">
        <f t="shared" si="28"/>
        <v>32497.900925938713</v>
      </c>
      <c r="X144" s="379">
        <f t="shared" si="28"/>
        <v>33147.85894445749</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1630000</v>
      </c>
      <c r="F145" s="379">
        <f t="shared" si="29"/>
        <v>1630000</v>
      </c>
      <c r="G145" s="379">
        <f t="shared" si="29"/>
        <v>1630000</v>
      </c>
      <c r="H145" s="379">
        <f t="shared" si="29"/>
        <v>1630000</v>
      </c>
      <c r="I145" s="379">
        <f t="shared" si="29"/>
        <v>1630000</v>
      </c>
      <c r="J145" s="379">
        <f t="shared" si="29"/>
        <v>1630000</v>
      </c>
      <c r="K145" s="379">
        <f t="shared" si="29"/>
        <v>1630000</v>
      </c>
      <c r="L145" s="379">
        <f t="shared" si="29"/>
        <v>1630000</v>
      </c>
      <c r="M145" s="379">
        <f t="shared" si="29"/>
        <v>1630000</v>
      </c>
      <c r="N145" s="379">
        <f t="shared" si="29"/>
        <v>1630000</v>
      </c>
      <c r="O145" s="379">
        <f t="shared" si="29"/>
        <v>1630000</v>
      </c>
      <c r="P145" s="379">
        <f t="shared" si="29"/>
        <v>1630000</v>
      </c>
      <c r="Q145" s="379">
        <f t="shared" si="29"/>
        <v>1630000</v>
      </c>
      <c r="R145" s="379">
        <f t="shared" si="29"/>
        <v>1630000</v>
      </c>
      <c r="S145" s="379">
        <f t="shared" si="29"/>
        <v>1630000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2255679.9999999995</v>
      </c>
      <c r="E146" s="123">
        <f>IF(E112&lt;=$C76,D146-($C$5*E118+E132+E135),D146-(E132+E135))</f>
        <v>2105360.3599999994</v>
      </c>
      <c r="F146" s="123">
        <f t="shared" ref="F146:AR146" si="30">IF(F112&lt;=$C76,E146-($C$5*F118+F132+F135),E146-(F132+F135))</f>
        <v>1952361.8706984413</v>
      </c>
      <c r="G146" s="123">
        <f t="shared" si="30"/>
        <v>1796533.5597535013</v>
      </c>
      <c r="H146" s="123">
        <f t="shared" si="30"/>
        <v>1637716.8090971187</v>
      </c>
      <c r="I146" s="123">
        <f>IF(I112&lt;=$C76,H146-($C$5*I118+I132+I135),H146-(I132+I135))</f>
        <v>1475744.9822721998</v>
      </c>
      <c r="J146" s="123">
        <f t="shared" si="30"/>
        <v>1310443.0338785234</v>
      </c>
      <c r="K146" s="123">
        <f>IF(K112&lt;=$C76,J146-($C$5*K118+K132+K135),J146-(K132+K135))</f>
        <v>1141627.100273713</v>
      </c>
      <c r="L146" s="123">
        <f t="shared" si="30"/>
        <v>969104.07063502213</v>
      </c>
      <c r="M146" s="123">
        <f t="shared" si="30"/>
        <v>792671.13744511968</v>
      </c>
      <c r="N146" s="123">
        <f t="shared" si="30"/>
        <v>612115.32542048686</v>
      </c>
      <c r="O146" s="123">
        <f t="shared" si="30"/>
        <v>427212.99785434094</v>
      </c>
      <c r="P146" s="123">
        <f t="shared" si="30"/>
        <v>237729.33929708428</v>
      </c>
      <c r="Q146" s="123">
        <f t="shared" si="30"/>
        <v>43417.813446035929</v>
      </c>
      <c r="R146" s="123">
        <f t="shared" si="30"/>
        <v>-155980.40493747446</v>
      </c>
      <c r="S146" s="123">
        <f t="shared" si="30"/>
        <v>-360737.02532179852</v>
      </c>
      <c r="T146" s="123">
        <f t="shared" si="30"/>
        <v>-398543.81281366164</v>
      </c>
      <c r="U146" s="123">
        <f t="shared" si="30"/>
        <v>-437106.73605536204</v>
      </c>
      <c r="V146" s="123">
        <f t="shared" si="30"/>
        <v>-476440.91776189645</v>
      </c>
      <c r="W146" s="123">
        <f t="shared" si="30"/>
        <v>-516561.78310256155</v>
      </c>
      <c r="X146" s="123">
        <f t="shared" si="30"/>
        <v>-557485.06575003988</v>
      </c>
      <c r="Y146" s="123">
        <f t="shared" si="30"/>
        <v>-557485.06575003988</v>
      </c>
      <c r="Z146" s="123">
        <f t="shared" si="30"/>
        <v>-557485.06575003988</v>
      </c>
      <c r="AA146" s="123">
        <f>IF(AA112&lt;=$C76,Z146-($C$5*AA118+AA132+AA135),Z146-(AA132+AA135))</f>
        <v>-557485.06575003988</v>
      </c>
      <c r="AB146" s="123">
        <f t="shared" si="30"/>
        <v>-557485.06575003988</v>
      </c>
      <c r="AC146" s="123">
        <f t="shared" si="30"/>
        <v>-557485.06575003988</v>
      </c>
      <c r="AD146" s="123">
        <f t="shared" si="30"/>
        <v>-557485.06575003988</v>
      </c>
      <c r="AE146" s="123">
        <f>IF(AE112&lt;=$C76,AD146-($C$5*AE118+AE132+AE135),AD146-(AE132+AE135))</f>
        <v>-557485.06575003988</v>
      </c>
      <c r="AF146" s="123">
        <f t="shared" si="30"/>
        <v>-557485.06575003988</v>
      </c>
      <c r="AG146" s="123">
        <f>IF(AG112&lt;=$C76,AF146-($C$5*AG118+AG132+AG135),AF146-(AG132+AG135))</f>
        <v>-557485.06575003988</v>
      </c>
      <c r="AH146" s="123">
        <f t="shared" si="30"/>
        <v>-557485.06575003988</v>
      </c>
      <c r="AI146" s="123">
        <f t="shared" si="30"/>
        <v>-557485.06575003988</v>
      </c>
      <c r="AJ146" s="123">
        <f t="shared" si="30"/>
        <v>-557485.06575003988</v>
      </c>
      <c r="AK146" s="123">
        <f t="shared" si="30"/>
        <v>-557485.06575003988</v>
      </c>
      <c r="AL146" s="123">
        <f t="shared" si="30"/>
        <v>-557485.06575003988</v>
      </c>
      <c r="AM146" s="123">
        <f t="shared" si="30"/>
        <v>-557485.06575003988</v>
      </c>
      <c r="AN146" s="123">
        <f t="shared" si="30"/>
        <v>-557485.06575003988</v>
      </c>
      <c r="AO146" s="123">
        <f t="shared" si="30"/>
        <v>-557485.06575003988</v>
      </c>
      <c r="AP146" s="123">
        <f t="shared" si="30"/>
        <v>-557485.06575003988</v>
      </c>
      <c r="AQ146" s="123">
        <f t="shared" si="30"/>
        <v>-557485.06575003988</v>
      </c>
      <c r="AR146" s="387">
        <f t="shared" si="30"/>
        <v>-557485.06575003988</v>
      </c>
    </row>
    <row r="147" spans="1:44" ht="13" thickBot="1" x14ac:dyDescent="0.3">
      <c r="B147" s="124" t="s">
        <v>473</v>
      </c>
      <c r="C147" s="125"/>
      <c r="D147" s="125"/>
      <c r="E147" s="126">
        <f t="shared" ref="E147:AR147" si="31">IF(E112&gt;$C$74,"",(-$C$94*(E139+$C$5*E118)+E132+$C$5*E118)/-E137)</f>
        <v>1.5066100717096036</v>
      </c>
      <c r="F147" s="126">
        <f t="shared" si="31"/>
        <v>1.4974381047827248</v>
      </c>
      <c r="G147" s="126">
        <f t="shared" si="31"/>
        <v>1.4879589701079154</v>
      </c>
      <c r="H147" s="126">
        <f t="shared" si="31"/>
        <v>1.47816064723077</v>
      </c>
      <c r="I147" s="126">
        <f t="shared" si="31"/>
        <v>1.4680305961255722</v>
      </c>
      <c r="J147" s="126">
        <f t="shared" si="31"/>
        <v>1.457555733543662</v>
      </c>
      <c r="K147" s="126">
        <f t="shared" si="31"/>
        <v>1.4467224082589105</v>
      </c>
      <c r="L147" s="126">
        <f t="shared" si="31"/>
        <v>1.43551637515833</v>
      </c>
      <c r="M147" s="126">
        <f t="shared" si="31"/>
        <v>1.4239227681233708</v>
      </c>
      <c r="N147" s="126">
        <f t="shared" si="31"/>
        <v>1.4119260716449094</v>
      </c>
      <c r="O147" s="126">
        <f t="shared" si="31"/>
        <v>1.399510091112192</v>
      </c>
      <c r="P147" s="126">
        <f t="shared" si="31"/>
        <v>1.3866579217132111</v>
      </c>
      <c r="Q147" s="126">
        <f t="shared" si="31"/>
        <v>1.3733519158809993</v>
      </c>
      <c r="R147" s="126">
        <f t="shared" si="31"/>
        <v>1.3595736492172437</v>
      </c>
      <c r="S147" s="126">
        <f t="shared" si="31"/>
        <v>1.3453038848213552</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-1367360.3920276908</v>
      </c>
      <c r="D150" s="57" t="s">
        <v>476</v>
      </c>
    </row>
    <row r="151" spans="1:44" x14ac:dyDescent="0.25">
      <c r="B151" s="26" t="s">
        <v>477</v>
      </c>
      <c r="C151" s="153">
        <f>(1-$C$94)*NPV($C$91,E145:AR145)</f>
        <v>12414343.688906824</v>
      </c>
      <c r="D151" s="58" t="str">
        <f>$C$7</f>
        <v>kWh</v>
      </c>
      <c r="F151" s="59"/>
    </row>
    <row r="152" spans="1:44" x14ac:dyDescent="0.25">
      <c r="B152" s="26" t="s">
        <v>478</v>
      </c>
      <c r="C152" s="153">
        <f>$C$41*1000000</f>
        <v>2255679.9999999995</v>
      </c>
      <c r="D152" s="57" t="s">
        <v>424</v>
      </c>
      <c r="F152" s="60"/>
    </row>
    <row r="153" spans="1:44" x14ac:dyDescent="0.25">
      <c r="B153" s="26" t="s">
        <v>479</v>
      </c>
      <c r="C153" s="154">
        <f>AVERAGE(E147:AR147)</f>
        <v>1.4318826139620515</v>
      </c>
      <c r="D153" s="57"/>
      <c r="F153" s="60"/>
    </row>
    <row r="154" spans="1:44" x14ac:dyDescent="0.25">
      <c r="B154" s="26" t="s">
        <v>480</v>
      </c>
      <c r="C154" s="155" t="str">
        <f>CONCATENATE(ROUND(((1-$C$94)*$C$90*$C$92+$C$93*$C$91)*100,1),"% / ",ROUND((((1+(1-$C$94)*$C$90*$C$92+$C$93*$C$91)/(1+$C$89))-1)*100,1),"%")</f>
        <v>4.6% / 2.6%</v>
      </c>
      <c r="D154" s="57"/>
      <c r="F154" s="59"/>
      <c r="G154" s="61"/>
    </row>
    <row r="155" spans="1:44" x14ac:dyDescent="0.25">
      <c r="B155" s="26" t="s">
        <v>481</v>
      </c>
      <c r="C155" s="156">
        <f>IFERROR(IRR(D143:AR143),"n.v.t.")</f>
        <v>-0.14544714770164457</v>
      </c>
      <c r="D155" s="57"/>
      <c r="F155" s="60"/>
      <c r="G155" s="61"/>
    </row>
    <row r="156" spans="1:44" x14ac:dyDescent="0.25">
      <c r="B156" s="26" t="s">
        <v>482</v>
      </c>
      <c r="C156" s="156" t="str">
        <f>IFERROR(IRR(D144:AR144),"n.v.t.")</f>
        <v>n.v.t.</v>
      </c>
      <c r="D156" s="57"/>
      <c r="G156" s="61"/>
    </row>
    <row r="157" spans="1:44" x14ac:dyDescent="0.25">
      <c r="B157" s="38" t="s">
        <v>483</v>
      </c>
      <c r="C157" s="153">
        <f>$C$92*C152-C97</f>
        <v>1578975.9999999995</v>
      </c>
      <c r="D157" s="57" t="s">
        <v>424</v>
      </c>
      <c r="F157" s="35"/>
    </row>
    <row r="158" spans="1:44" x14ac:dyDescent="0.25">
      <c r="B158" s="38" t="s">
        <v>484</v>
      </c>
      <c r="C158" s="153">
        <f>$C$93*C152-C98</f>
        <v>676703.99999999988</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1630</v>
      </c>
      <c r="D160" s="57" t="s">
        <v>340</v>
      </c>
      <c r="F160" s="35"/>
    </row>
    <row r="161" spans="2:44" x14ac:dyDescent="0.25">
      <c r="B161" s="43" t="s">
        <v>487</v>
      </c>
      <c r="C161" s="461" t="str">
        <f>CONCATENATE( "tussen ", INDEX(D112:X112, MATCH(0,D146:X146, -1)), " en ",  1 + INDEX(D112:X112, MATCH(0,D146:X146, -1)), " jaar")</f>
        <v>tussen 13 en 14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29" priority="3" operator="containsText" text="Pas op">
      <formula>NOT(ISERROR(SEARCH("Pas op",G1)))</formula>
    </cfRule>
  </conditionalFormatting>
  <conditionalFormatting sqref="G105">
    <cfRule type="containsText" dxfId="28" priority="1" operator="containsText" text="Pas op">
      <formula>NOT(ISERROR(SEARCH("Pas op",G105)))</formula>
    </cfRule>
  </conditionalFormatting>
  <conditionalFormatting sqref="G184:G1048576">
    <cfRule type="containsText" dxfId="27" priority="2" operator="containsText" text="Pas op">
      <formula>NOT(ISERROR(SEARCH("Pas op",G184)))</formula>
    </cfRule>
  </conditionalFormatting>
  <dataValidations count="3">
    <dataValidation type="list" allowBlank="1" showInputMessage="1" showErrorMessage="1" sqref="C14" xr:uid="{F118BEEA-A2AC-427A-992D-79B78CA03769}">
      <formula1>"Nee,Ja,Geen warmte"</formula1>
    </dataValidation>
    <dataValidation type="list" allowBlank="1" showInputMessage="1" showErrorMessage="1" sqref="C7" xr:uid="{5E5D6092-2E9B-4DAC-AD22-32DA2621D2B1}">
      <formula1>"t CO2,kWh"</formula1>
    </dataValidation>
    <dataValidation type="list" allowBlank="1" showInputMessage="1" showErrorMessage="1" sqref="C37361 C102897 C168433 C233969 C299505 C365041 C430577 C496113 C561649 C627185 C692721 C758257 C823793 C889329 C954865" xr:uid="{FF4203AA-CA6E-4374-A39B-6C23D3CBE7DA}">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FDAD80CB-3EF6-496E-8645-1B473B95171F}">
          <x14:formula1>
            <xm:f>Correcties!$A$8:$A$8</xm:f>
          </x14:formula1>
          <xm:sqref>C15</xm:sqref>
        </x14:dataValidation>
        <x14:dataValidation type="list" allowBlank="1" showInputMessage="1" showErrorMessage="1" xr:uid="{6205FBA9-C973-4889-BF91-52E9DD14D7B9}">
          <x14:formula1>
            <xm:f>Correcties!$A$27:$A$38</xm:f>
          </x14:formula1>
          <xm:sqref>C13</xm:sqref>
        </x14:dataValidation>
        <x14:dataValidation type="list" allowBlank="1" showInputMessage="1" showErrorMessage="1" xr:uid="{E2BD8052-7D17-4CCC-85C8-5E2F82E4C135}">
          <x14:formula1>
            <xm:f>Colofon!$B$34:$B$39</xm:f>
          </x14:formula1>
          <xm:sqref>C9</xm:sqref>
        </x14:dataValidation>
        <x14:dataValidation type="list" allowBlank="1" showInputMessage="1" showErrorMessage="1" xr:uid="{8AAA82EE-3CAB-47E7-8D8B-6636D7B078FD}">
          <x14:formula1>
            <xm:f>Correcties!$A$10:$A$10</xm:f>
          </x14:formula1>
          <xm:sqref>C16</xm:sqref>
        </x14:dataValidation>
        <x14:dataValidation type="list" allowBlank="1" showInputMessage="1" showErrorMessage="1" xr:uid="{77689A04-8B9F-4BD2-AD6A-379345F573BC}">
          <x14:formula1>
            <xm:f>Correcties!$A$4:$A$10</xm:f>
          </x14:formula1>
          <xm:sqref>C12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DAD99-4D67-4BEF-9321-9E5B2874262E}">
  <sheetPr codeName="Sheet102">
    <tabColor theme="5" tint="0.59999389629810485"/>
    <pageSetUpPr fitToPage="1"/>
  </sheetPr>
  <dimension ref="A1:AR198"/>
  <sheetViews>
    <sheetView showGridLines="0" topLeftCell="AB113"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517</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0.1777</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1182.0677035681608</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IFERROR(INDEX(Correcties!$A$1:$I$301,MATCH('13'!C12,Correcties!$A$1:$A$301,0),5),"")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1000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1500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2240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2.2556799999999995</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13.8</v>
      </c>
      <c r="D43" s="99" t="str">
        <f>CONCATENATE("Euro/",$C$8,"/jaar")</f>
        <v>Euro/kW/jaar</v>
      </c>
      <c r="E43" s="447" t="s">
        <v>357</v>
      </c>
      <c r="F43" s="447"/>
      <c r="G43" s="447"/>
      <c r="H43" s="447"/>
      <c r="I43" s="447"/>
      <c r="J43" s="447"/>
      <c r="K43" s="447"/>
      <c r="L43" s="447"/>
      <c r="M43" s="448"/>
    </row>
    <row r="44" spans="2:13" x14ac:dyDescent="0.25">
      <c r="B44" s="96" t="s">
        <v>359</v>
      </c>
      <c r="C44" s="348">
        <f>(C42*C21+C43*SUM(C26,C28))/1000</f>
        <v>13.8</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1.7999999999999999E-2</v>
      </c>
      <c r="D48" s="99" t="str">
        <f>CONCATENATE("Euro/",$C$7)</f>
        <v>Euro/kWh</v>
      </c>
      <c r="E48" s="447"/>
      <c r="F48" s="447"/>
      <c r="G48" s="447"/>
      <c r="H48" s="447"/>
      <c r="I48" s="447"/>
      <c r="J48" s="447"/>
      <c r="K48" s="447"/>
      <c r="L48" s="447"/>
      <c r="M48" s="448"/>
    </row>
    <row r="49" spans="2:13" x14ac:dyDescent="0.25">
      <c r="B49" s="97" t="s">
        <v>366</v>
      </c>
      <c r="C49" s="142">
        <f>SUM(C45:C48)</f>
        <v>1.7999999999999999E-2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1500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22500000</v>
      </c>
      <c r="D84" s="98" t="str">
        <f>C7</f>
        <v>kWh</v>
      </c>
      <c r="E84" s="447"/>
      <c r="F84" s="447"/>
      <c r="G84" s="447"/>
      <c r="H84" s="447"/>
      <c r="I84" s="447"/>
      <c r="J84" s="447"/>
      <c r="K84" s="447"/>
      <c r="L84" s="447"/>
      <c r="M84" s="448"/>
    </row>
    <row r="85" spans="2:13" x14ac:dyDescent="0.25">
      <c r="B85" s="113" t="s">
        <v>413</v>
      </c>
      <c r="C85" s="145">
        <f>IF(C77=0,SUM(E118:INDEX(E118:AR118,1,C73)),SUM(E118:INDEX(E118:AR118,1,C77)))</f>
        <v>30000000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4.7500000000000001E-2</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-2255679.9999999995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1500000</v>
      </c>
      <c r="F115" s="379">
        <f t="shared" si="4"/>
        <v>1500000</v>
      </c>
      <c r="G115" s="379">
        <f t="shared" si="4"/>
        <v>1500000</v>
      </c>
      <c r="H115" s="379">
        <f t="shared" si="4"/>
        <v>1500000</v>
      </c>
      <c r="I115" s="379">
        <f t="shared" si="4"/>
        <v>1500000</v>
      </c>
      <c r="J115" s="379">
        <f t="shared" si="4"/>
        <v>1500000</v>
      </c>
      <c r="K115" s="379">
        <f t="shared" si="4"/>
        <v>1500000</v>
      </c>
      <c r="L115" s="379">
        <f t="shared" si="4"/>
        <v>1500000</v>
      </c>
      <c r="M115" s="379">
        <f t="shared" si="4"/>
        <v>1500000</v>
      </c>
      <c r="N115" s="379">
        <f t="shared" si="4"/>
        <v>1500000</v>
      </c>
      <c r="O115" s="379">
        <f t="shared" si="4"/>
        <v>1500000</v>
      </c>
      <c r="P115" s="379">
        <f t="shared" si="4"/>
        <v>1500000</v>
      </c>
      <c r="Q115" s="379">
        <f t="shared" si="4"/>
        <v>1500000</v>
      </c>
      <c r="R115" s="379">
        <f t="shared" si="4"/>
        <v>1500000</v>
      </c>
      <c r="S115" s="379">
        <f t="shared" si="4"/>
        <v>1500000</v>
      </c>
      <c r="T115" s="379">
        <f t="shared" si="4"/>
        <v>1500000</v>
      </c>
      <c r="U115" s="379">
        <f t="shared" si="4"/>
        <v>1500000</v>
      </c>
      <c r="V115" s="379">
        <f t="shared" si="4"/>
        <v>1500000</v>
      </c>
      <c r="W115" s="379">
        <f t="shared" si="4"/>
        <v>1500000</v>
      </c>
      <c r="X115" s="379">
        <f t="shared" si="4"/>
        <v>1500000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1500000</v>
      </c>
      <c r="F118" s="150">
        <f t="shared" ref="F118:AR118" si="7">SUM(F115:F117)</f>
        <v>1500000</v>
      </c>
      <c r="G118" s="150">
        <f t="shared" si="7"/>
        <v>1500000</v>
      </c>
      <c r="H118" s="150">
        <f t="shared" si="7"/>
        <v>1500000</v>
      </c>
      <c r="I118" s="150">
        <f t="shared" si="7"/>
        <v>1500000</v>
      </c>
      <c r="J118" s="150">
        <f t="shared" si="7"/>
        <v>1500000</v>
      </c>
      <c r="K118" s="150">
        <f t="shared" si="7"/>
        <v>1500000</v>
      </c>
      <c r="L118" s="150">
        <f t="shared" si="7"/>
        <v>1500000</v>
      </c>
      <c r="M118" s="150">
        <f t="shared" si="7"/>
        <v>1500000</v>
      </c>
      <c r="N118" s="150">
        <f t="shared" si="7"/>
        <v>1500000</v>
      </c>
      <c r="O118" s="150">
        <f t="shared" si="7"/>
        <v>1500000</v>
      </c>
      <c r="P118" s="150">
        <f t="shared" si="7"/>
        <v>1500000</v>
      </c>
      <c r="Q118" s="150">
        <f t="shared" si="7"/>
        <v>1500000</v>
      </c>
      <c r="R118" s="150">
        <f t="shared" si="7"/>
        <v>1500000</v>
      </c>
      <c r="S118" s="150">
        <f t="shared" si="7"/>
        <v>1500000</v>
      </c>
      <c r="T118" s="150">
        <f t="shared" si="7"/>
        <v>1500000</v>
      </c>
      <c r="U118" s="150">
        <f t="shared" si="7"/>
        <v>1500000</v>
      </c>
      <c r="V118" s="150">
        <f t="shared" si="7"/>
        <v>1500000</v>
      </c>
      <c r="W118" s="150">
        <f t="shared" si="7"/>
        <v>1500000</v>
      </c>
      <c r="X118" s="150">
        <f t="shared" si="7"/>
        <v>1500000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-40800</v>
      </c>
      <c r="F120" s="379">
        <f t="shared" ref="F120:AR120" si="8">IF(F112&gt;$C$73,0,-F109*(($C$42*$C$21+$C$43*SUM($C$26,$C$28))+F118*$C$49))+IF($C$101=F112,$D$101*F109,0)+IF($C$102=F112,$D$102*F109,0)+IF($C$103=F112,$D$103*F109,0)</f>
        <v>-41616</v>
      </c>
      <c r="G120" s="379">
        <f t="shared" si="8"/>
        <v>-42448.32</v>
      </c>
      <c r="H120" s="379">
        <f t="shared" si="8"/>
        <v>-43297.286399999997</v>
      </c>
      <c r="I120" s="379">
        <f t="shared" si="8"/>
        <v>-44163.232127999996</v>
      </c>
      <c r="J120" s="379">
        <f t="shared" si="8"/>
        <v>-45046.496770559999</v>
      </c>
      <c r="K120" s="379">
        <f t="shared" si="8"/>
        <v>-45947.4267059712</v>
      </c>
      <c r="L120" s="379">
        <f t="shared" si="8"/>
        <v>-46866.375240090616</v>
      </c>
      <c r="M120" s="379">
        <f t="shared" si="8"/>
        <v>-47803.702744892435</v>
      </c>
      <c r="N120" s="379">
        <f t="shared" si="8"/>
        <v>-48759.776799790285</v>
      </c>
      <c r="O120" s="379">
        <f t="shared" si="8"/>
        <v>-49734.972335786093</v>
      </c>
      <c r="P120" s="379">
        <f t="shared" si="8"/>
        <v>-50729.671782501806</v>
      </c>
      <c r="Q120" s="379">
        <f t="shared" si="8"/>
        <v>-51744.26521815185</v>
      </c>
      <c r="R120" s="379">
        <f t="shared" si="8"/>
        <v>-52779.150522514879</v>
      </c>
      <c r="S120" s="379">
        <f t="shared" si="8"/>
        <v>-53834.733532965183</v>
      </c>
      <c r="T120" s="379">
        <f t="shared" si="8"/>
        <v>-54911.428203624469</v>
      </c>
      <c r="U120" s="379">
        <f t="shared" si="8"/>
        <v>-56009.656767696972</v>
      </c>
      <c r="V120" s="379">
        <f t="shared" si="8"/>
        <v>-57129.849903050912</v>
      </c>
      <c r="W120" s="379">
        <f t="shared" si="8"/>
        <v>-58272.446901111929</v>
      </c>
      <c r="X120" s="379">
        <f t="shared" si="8"/>
        <v>-59437.895839134166</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88221.669577146677</v>
      </c>
      <c r="U127" s="379">
        <f t="shared" si="15"/>
        <v>89986.102968689622</v>
      </c>
      <c r="V127" s="379">
        <f t="shared" si="15"/>
        <v>91785.825028063424</v>
      </c>
      <c r="W127" s="379">
        <f t="shared" si="15"/>
        <v>93621.541528624672</v>
      </c>
      <c r="X127" s="379">
        <f t="shared" si="15"/>
        <v>95493.972359197171</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88221.669577146677</v>
      </c>
      <c r="U130" s="379">
        <f t="shared" si="17"/>
        <v>89986.102968689622</v>
      </c>
      <c r="V130" s="379">
        <f t="shared" si="17"/>
        <v>91785.825028063424</v>
      </c>
      <c r="W130" s="379">
        <f t="shared" si="17"/>
        <v>93621.541528624672</v>
      </c>
      <c r="X130" s="379">
        <f t="shared" si="17"/>
        <v>95493.972359197171</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-40800</v>
      </c>
      <c r="F131" s="379">
        <f t="shared" si="18"/>
        <v>-41616</v>
      </c>
      <c r="G131" s="379">
        <f t="shared" si="18"/>
        <v>-42448.32</v>
      </c>
      <c r="H131" s="379">
        <f t="shared" si="18"/>
        <v>-43297.286399999997</v>
      </c>
      <c r="I131" s="379">
        <f t="shared" si="18"/>
        <v>-44163.232127999996</v>
      </c>
      <c r="J131" s="379">
        <f t="shared" si="18"/>
        <v>-45046.496770559999</v>
      </c>
      <c r="K131" s="379">
        <f t="shared" si="18"/>
        <v>-45947.4267059712</v>
      </c>
      <c r="L131" s="379">
        <f t="shared" si="18"/>
        <v>-46866.375240090616</v>
      </c>
      <c r="M131" s="379">
        <f t="shared" si="18"/>
        <v>-47803.702744892435</v>
      </c>
      <c r="N131" s="379">
        <f t="shared" si="18"/>
        <v>-48759.776799790285</v>
      </c>
      <c r="O131" s="379">
        <f t="shared" si="18"/>
        <v>-49734.972335786093</v>
      </c>
      <c r="P131" s="379">
        <f t="shared" si="18"/>
        <v>-50729.671782501806</v>
      </c>
      <c r="Q131" s="379">
        <f t="shared" si="18"/>
        <v>-51744.26521815185</v>
      </c>
      <c r="R131" s="379">
        <f t="shared" si="18"/>
        <v>-52779.150522514879</v>
      </c>
      <c r="S131" s="379">
        <f t="shared" si="18"/>
        <v>-53834.733532965183</v>
      </c>
      <c r="T131" s="379">
        <f t="shared" si="18"/>
        <v>-54911.428203624469</v>
      </c>
      <c r="U131" s="379">
        <f t="shared" si="18"/>
        <v>-56009.656767696972</v>
      </c>
      <c r="V131" s="379">
        <f t="shared" si="18"/>
        <v>-57129.849903050912</v>
      </c>
      <c r="W131" s="379">
        <f t="shared" si="18"/>
        <v>-58272.446901111929</v>
      </c>
      <c r="X131" s="379">
        <f t="shared" si="18"/>
        <v>-59437.895839134166</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-40800</v>
      </c>
      <c r="F132" s="386">
        <f t="shared" ref="F132:AR132" si="19">SUM(F130:F131)</f>
        <v>-41616</v>
      </c>
      <c r="G132" s="386">
        <f t="shared" si="19"/>
        <v>-42448.32</v>
      </c>
      <c r="H132" s="386">
        <f t="shared" si="19"/>
        <v>-43297.286399999997</v>
      </c>
      <c r="I132" s="386">
        <f t="shared" si="19"/>
        <v>-44163.232127999996</v>
      </c>
      <c r="J132" s="386">
        <f t="shared" si="19"/>
        <v>-45046.496770559999</v>
      </c>
      <c r="K132" s="386">
        <f t="shared" si="19"/>
        <v>-45947.4267059712</v>
      </c>
      <c r="L132" s="386">
        <f t="shared" si="19"/>
        <v>-46866.375240090616</v>
      </c>
      <c r="M132" s="386">
        <f t="shared" si="19"/>
        <v>-47803.702744892435</v>
      </c>
      <c r="N132" s="386">
        <f t="shared" si="19"/>
        <v>-48759.776799790285</v>
      </c>
      <c r="O132" s="386">
        <f t="shared" si="19"/>
        <v>-49734.972335786093</v>
      </c>
      <c r="P132" s="386">
        <f t="shared" si="19"/>
        <v>-50729.671782501806</v>
      </c>
      <c r="Q132" s="386">
        <f t="shared" si="19"/>
        <v>-51744.26521815185</v>
      </c>
      <c r="R132" s="386">
        <f t="shared" si="19"/>
        <v>-52779.150522514879</v>
      </c>
      <c r="S132" s="386">
        <f t="shared" si="19"/>
        <v>-53834.733532965183</v>
      </c>
      <c r="T132" s="386">
        <f t="shared" si="19"/>
        <v>33310.241373522207</v>
      </c>
      <c r="U132" s="386">
        <f t="shared" si="19"/>
        <v>33976.44620099265</v>
      </c>
      <c r="V132" s="386">
        <f t="shared" si="19"/>
        <v>34655.975125012512</v>
      </c>
      <c r="W132" s="386">
        <f t="shared" si="19"/>
        <v>35349.094627512743</v>
      </c>
      <c r="X132" s="386">
        <f t="shared" si="19"/>
        <v>36056.076520063005</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-150378.66666666663</v>
      </c>
      <c r="F134" s="379">
        <f t="shared" si="20"/>
        <v>-150378.66666666663</v>
      </c>
      <c r="G134" s="379">
        <f t="shared" si="20"/>
        <v>-150378.66666666663</v>
      </c>
      <c r="H134" s="379">
        <f t="shared" si="20"/>
        <v>-150378.66666666663</v>
      </c>
      <c r="I134" s="379">
        <f t="shared" si="20"/>
        <v>-150378.66666666663</v>
      </c>
      <c r="J134" s="379">
        <f t="shared" si="20"/>
        <v>-150378.66666666663</v>
      </c>
      <c r="K134" s="379">
        <f t="shared" si="20"/>
        <v>-150378.66666666663</v>
      </c>
      <c r="L134" s="379">
        <f t="shared" si="20"/>
        <v>-150378.66666666663</v>
      </c>
      <c r="M134" s="379">
        <f t="shared" si="20"/>
        <v>-150378.66666666663</v>
      </c>
      <c r="N134" s="379">
        <f t="shared" si="20"/>
        <v>-150378.66666666663</v>
      </c>
      <c r="O134" s="379">
        <f t="shared" si="20"/>
        <v>-150378.66666666663</v>
      </c>
      <c r="P134" s="379">
        <f t="shared" si="20"/>
        <v>-150378.66666666663</v>
      </c>
      <c r="Q134" s="379">
        <f t="shared" si="20"/>
        <v>-150378.66666666663</v>
      </c>
      <c r="R134" s="379">
        <f t="shared" si="20"/>
        <v>-150378.66666666663</v>
      </c>
      <c r="S134" s="379">
        <f t="shared" si="20"/>
        <v>-150378.66666666663</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-75001.359999999986</v>
      </c>
      <c r="F135" s="379">
        <f t="shared" si="21"/>
        <v>-71459.710698441966</v>
      </c>
      <c r="G135" s="379">
        <f t="shared" si="21"/>
        <v>-67749.833055059949</v>
      </c>
      <c r="H135" s="379">
        <f t="shared" si="21"/>
        <v>-63863.736223617292</v>
      </c>
      <c r="I135" s="379">
        <f t="shared" si="21"/>
        <v>-59793.049792681115</v>
      </c>
      <c r="J135" s="379">
        <f t="shared" si="21"/>
        <v>-55529.005756275466</v>
      </c>
      <c r="K135" s="379">
        <f t="shared" si="21"/>
        <v>-51062.419628140538</v>
      </c>
      <c r="L135" s="379">
        <f t="shared" si="21"/>
        <v>-46383.670658919211</v>
      </c>
      <c r="M135" s="379">
        <f t="shared" si="21"/>
        <v>-41482.681113659884</v>
      </c>
      <c r="N135" s="379">
        <f t="shared" si="21"/>
        <v>-36348.894565000723</v>
      </c>
      <c r="O135" s="379">
        <f t="shared" si="21"/>
        <v>-30971.25315528025</v>
      </c>
      <c r="P135" s="379">
        <f t="shared" si="21"/>
        <v>-25338.173778598062</v>
      </c>
      <c r="Q135" s="379">
        <f t="shared" si="21"/>
        <v>-19437.523131523463</v>
      </c>
      <c r="R135" s="379">
        <f t="shared" si="21"/>
        <v>-13256.591578712823</v>
      </c>
      <c r="S135" s="379">
        <f t="shared" si="21"/>
        <v>-6782.0657771436781</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-74561.037927536949</v>
      </c>
      <c r="F136" s="379">
        <f t="shared" si="22"/>
        <v>-78102.687229094954</v>
      </c>
      <c r="G136" s="379">
        <f t="shared" si="22"/>
        <v>-81812.564872476971</v>
      </c>
      <c r="H136" s="379">
        <f t="shared" si="22"/>
        <v>-85698.661703919614</v>
      </c>
      <c r="I136" s="379">
        <f t="shared" si="22"/>
        <v>-89769.348134855798</v>
      </c>
      <c r="J136" s="379">
        <f t="shared" si="22"/>
        <v>-94033.392171261439</v>
      </c>
      <c r="K136" s="379">
        <f t="shared" si="22"/>
        <v>-98499.978299396374</v>
      </c>
      <c r="L136" s="379">
        <f t="shared" si="22"/>
        <v>-103178.72726861769</v>
      </c>
      <c r="M136" s="379">
        <f t="shared" si="22"/>
        <v>-108079.71681387704</v>
      </c>
      <c r="N136" s="379">
        <f t="shared" si="22"/>
        <v>-113213.5033625362</v>
      </c>
      <c r="O136" s="379">
        <f t="shared" si="22"/>
        <v>-118591.14477225668</v>
      </c>
      <c r="P136" s="379">
        <f t="shared" si="22"/>
        <v>-124224.22414893885</v>
      </c>
      <c r="Q136" s="379">
        <f t="shared" si="22"/>
        <v>-130124.87479601348</v>
      </c>
      <c r="R136" s="379">
        <f t="shared" si="22"/>
        <v>-136305.80634882412</v>
      </c>
      <c r="S136" s="379">
        <f t="shared" si="22"/>
        <v>-142780.33215039322</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-149562.39792753692</v>
      </c>
      <c r="F137" s="386">
        <f t="shared" ref="F137:AR137" si="23">SUM(F135,F136)</f>
        <v>-149562.39792753692</v>
      </c>
      <c r="G137" s="386">
        <f t="shared" si="23"/>
        <v>-149562.39792753692</v>
      </c>
      <c r="H137" s="386">
        <f t="shared" si="23"/>
        <v>-149562.39792753692</v>
      </c>
      <c r="I137" s="386">
        <f t="shared" si="23"/>
        <v>-149562.39792753692</v>
      </c>
      <c r="J137" s="386">
        <f t="shared" si="23"/>
        <v>-149562.39792753692</v>
      </c>
      <c r="K137" s="386">
        <f t="shared" si="23"/>
        <v>-149562.39792753692</v>
      </c>
      <c r="L137" s="386">
        <f t="shared" si="23"/>
        <v>-149562.39792753689</v>
      </c>
      <c r="M137" s="386">
        <f t="shared" si="23"/>
        <v>-149562.39792753692</v>
      </c>
      <c r="N137" s="386">
        <f t="shared" si="23"/>
        <v>-149562.39792753692</v>
      </c>
      <c r="O137" s="386">
        <f t="shared" si="23"/>
        <v>-149562.39792753692</v>
      </c>
      <c r="P137" s="386">
        <f t="shared" si="23"/>
        <v>-149562.39792753692</v>
      </c>
      <c r="Q137" s="386">
        <f t="shared" si="23"/>
        <v>-149562.39792753695</v>
      </c>
      <c r="R137" s="386">
        <f t="shared" si="23"/>
        <v>-149562.39792753695</v>
      </c>
      <c r="S137" s="386">
        <f t="shared" si="23"/>
        <v>-149562.39792753689</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-266180.02666666661</v>
      </c>
      <c r="F139" s="379">
        <f t="shared" ref="F139:AR139" si="24">F132+F134+F135</f>
        <v>-263454.37736510858</v>
      </c>
      <c r="G139" s="379">
        <f t="shared" si="24"/>
        <v>-260576.81972172658</v>
      </c>
      <c r="H139" s="379">
        <f t="shared" si="24"/>
        <v>-257539.68929028389</v>
      </c>
      <c r="I139" s="379">
        <f t="shared" si="24"/>
        <v>-254334.94858734775</v>
      </c>
      <c r="J139" s="379">
        <f t="shared" si="24"/>
        <v>-250954.16919350208</v>
      </c>
      <c r="K139" s="379">
        <f t="shared" si="24"/>
        <v>-247388.51300077836</v>
      </c>
      <c r="L139" s="379">
        <f t="shared" si="24"/>
        <v>-243628.71256567645</v>
      </c>
      <c r="M139" s="379">
        <f t="shared" si="24"/>
        <v>-239665.05052521895</v>
      </c>
      <c r="N139" s="379">
        <f t="shared" si="24"/>
        <v>-235487.33803145762</v>
      </c>
      <c r="O139" s="379">
        <f t="shared" si="24"/>
        <v>-231084.89215773297</v>
      </c>
      <c r="P139" s="379">
        <f t="shared" si="24"/>
        <v>-226446.51222776648</v>
      </c>
      <c r="Q139" s="379">
        <f t="shared" si="24"/>
        <v>-221560.45501634193</v>
      </c>
      <c r="R139" s="379">
        <f t="shared" si="24"/>
        <v>-216414.40876789435</v>
      </c>
      <c r="S139" s="379">
        <f t="shared" si="24"/>
        <v>-210995.46597677548</v>
      </c>
      <c r="T139" s="379">
        <f t="shared" si="24"/>
        <v>33310.241373522207</v>
      </c>
      <c r="U139" s="379">
        <f t="shared" si="24"/>
        <v>33976.44620099265</v>
      </c>
      <c r="V139" s="379">
        <f t="shared" si="24"/>
        <v>34655.975125012512</v>
      </c>
      <c r="W139" s="379">
        <f t="shared" si="24"/>
        <v>35349.094627512743</v>
      </c>
      <c r="X139" s="379">
        <f t="shared" si="24"/>
        <v>36056.076520063005</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50574.205066666655</v>
      </c>
      <c r="F140" s="379">
        <f t="shared" si="25"/>
        <v>50056.331699370632</v>
      </c>
      <c r="G140" s="379">
        <f t="shared" si="25"/>
        <v>49509.595747128049</v>
      </c>
      <c r="H140" s="379">
        <f t="shared" si="25"/>
        <v>48932.540965153938</v>
      </c>
      <c r="I140" s="379">
        <f t="shared" si="25"/>
        <v>48323.640231596073</v>
      </c>
      <c r="J140" s="379">
        <f t="shared" si="25"/>
        <v>47681.292146765394</v>
      </c>
      <c r="K140" s="379">
        <f t="shared" si="25"/>
        <v>47003.817470147886</v>
      </c>
      <c r="L140" s="379">
        <f t="shared" si="25"/>
        <v>46289.455387478527</v>
      </c>
      <c r="M140" s="379">
        <f t="shared" si="25"/>
        <v>45536.359599791598</v>
      </c>
      <c r="N140" s="379">
        <f t="shared" si="25"/>
        <v>44742.594225976951</v>
      </c>
      <c r="O140" s="379">
        <f t="shared" si="25"/>
        <v>43906.129509969265</v>
      </c>
      <c r="P140" s="379">
        <f t="shared" si="25"/>
        <v>43024.837323275635</v>
      </c>
      <c r="Q140" s="379">
        <f t="shared" si="25"/>
        <v>42096.486453104968</v>
      </c>
      <c r="R140" s="379">
        <f t="shared" si="25"/>
        <v>41118.737665899927</v>
      </c>
      <c r="S140" s="379">
        <f t="shared" si="25"/>
        <v>40089.138535587343</v>
      </c>
      <c r="T140" s="379">
        <f t="shared" si="25"/>
        <v>-6328.9458609692192</v>
      </c>
      <c r="U140" s="379">
        <f t="shared" si="25"/>
        <v>-6455.5247781886037</v>
      </c>
      <c r="V140" s="379">
        <f t="shared" si="25"/>
        <v>-6584.6352737523775</v>
      </c>
      <c r="W140" s="379">
        <f t="shared" si="25"/>
        <v>-6716.3279792274216</v>
      </c>
      <c r="X140" s="379">
        <f t="shared" si="25"/>
        <v>-6850.6545388119712</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-139788.19286087027</v>
      </c>
      <c r="F142" s="386">
        <f t="shared" si="26"/>
        <v>-141122.06622816628</v>
      </c>
      <c r="G142" s="386">
        <f t="shared" si="26"/>
        <v>-142501.12218040889</v>
      </c>
      <c r="H142" s="386">
        <f t="shared" si="26"/>
        <v>-143927.14336238295</v>
      </c>
      <c r="I142" s="386">
        <f t="shared" si="26"/>
        <v>-145401.98982394085</v>
      </c>
      <c r="J142" s="386">
        <f t="shared" si="26"/>
        <v>-146927.60255133151</v>
      </c>
      <c r="K142" s="386">
        <f t="shared" si="26"/>
        <v>-148506.00716336022</v>
      </c>
      <c r="L142" s="386">
        <f t="shared" si="26"/>
        <v>-150139.31778014899</v>
      </c>
      <c r="M142" s="386">
        <f t="shared" si="26"/>
        <v>-151829.74107263779</v>
      </c>
      <c r="N142" s="386">
        <f t="shared" si="26"/>
        <v>-153579.58050135022</v>
      </c>
      <c r="O142" s="386">
        <f t="shared" si="26"/>
        <v>-155391.24075335375</v>
      </c>
      <c r="P142" s="386">
        <f t="shared" si="26"/>
        <v>-157267.23238676309</v>
      </c>
      <c r="Q142" s="386">
        <f t="shared" si="26"/>
        <v>-159210.17669258383</v>
      </c>
      <c r="R142" s="386">
        <f t="shared" si="26"/>
        <v>-161222.81078415189</v>
      </c>
      <c r="S142" s="386">
        <f t="shared" si="26"/>
        <v>-163307.99292491472</v>
      </c>
      <c r="T142" s="386">
        <f t="shared" si="26"/>
        <v>26981.295512552988</v>
      </c>
      <c r="U142" s="386">
        <f t="shared" si="26"/>
        <v>27520.921422804047</v>
      </c>
      <c r="V142" s="386">
        <f t="shared" si="26"/>
        <v>28071.339851260134</v>
      </c>
      <c r="W142" s="386">
        <f t="shared" si="26"/>
        <v>28632.76664828532</v>
      </c>
      <c r="X142" s="386">
        <f t="shared" si="26"/>
        <v>29205.421981251035</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-2255679.9999999995</v>
      </c>
      <c r="E143" s="379">
        <f>E132+E140</f>
        <v>9774.2050666666546</v>
      </c>
      <c r="F143" s="379">
        <f t="shared" ref="F143:AR143" si="27">F132+F140</f>
        <v>8440.3316993706321</v>
      </c>
      <c r="G143" s="379">
        <f t="shared" si="27"/>
        <v>7061.2757471280493</v>
      </c>
      <c r="H143" s="379">
        <f t="shared" si="27"/>
        <v>5635.2545651539403</v>
      </c>
      <c r="I143" s="379">
        <f t="shared" si="27"/>
        <v>4160.4081035960771</v>
      </c>
      <c r="J143" s="379">
        <f t="shared" si="27"/>
        <v>2634.7953762053949</v>
      </c>
      <c r="K143" s="379">
        <f t="shared" si="27"/>
        <v>1056.3907641766855</v>
      </c>
      <c r="L143" s="379">
        <f t="shared" si="27"/>
        <v>-576.91985261208902</v>
      </c>
      <c r="M143" s="379">
        <f t="shared" si="27"/>
        <v>-2267.3431451008364</v>
      </c>
      <c r="N143" s="379">
        <f t="shared" si="27"/>
        <v>-4017.1825738133339</v>
      </c>
      <c r="O143" s="379">
        <f t="shared" si="27"/>
        <v>-5828.8428258168278</v>
      </c>
      <c r="P143" s="379">
        <f t="shared" si="27"/>
        <v>-7704.834459226171</v>
      </c>
      <c r="Q143" s="379">
        <f t="shared" si="27"/>
        <v>-9647.7787650468817</v>
      </c>
      <c r="R143" s="379">
        <f t="shared" si="27"/>
        <v>-11660.412856614952</v>
      </c>
      <c r="S143" s="379">
        <f t="shared" si="27"/>
        <v>-13745.594997377841</v>
      </c>
      <c r="T143" s="379">
        <f t="shared" si="27"/>
        <v>26981.295512552988</v>
      </c>
      <c r="U143" s="379">
        <f t="shared" si="27"/>
        <v>27520.921422804047</v>
      </c>
      <c r="V143" s="379">
        <f t="shared" si="27"/>
        <v>28071.339851260134</v>
      </c>
      <c r="W143" s="379">
        <f t="shared" si="27"/>
        <v>28632.76664828532</v>
      </c>
      <c r="X143" s="379">
        <f t="shared" si="27"/>
        <v>29205.421981251035</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-676703.99999999988</v>
      </c>
      <c r="E144" s="379">
        <f>E142</f>
        <v>-139788.19286087027</v>
      </c>
      <c r="F144" s="379">
        <f t="shared" ref="F144:AR144" si="28">F142</f>
        <v>-141122.06622816628</v>
      </c>
      <c r="G144" s="379">
        <f t="shared" si="28"/>
        <v>-142501.12218040889</v>
      </c>
      <c r="H144" s="379">
        <f t="shared" si="28"/>
        <v>-143927.14336238295</v>
      </c>
      <c r="I144" s="379">
        <f t="shared" si="28"/>
        <v>-145401.98982394085</v>
      </c>
      <c r="J144" s="379">
        <f t="shared" si="28"/>
        <v>-146927.60255133151</v>
      </c>
      <c r="K144" s="379">
        <f t="shared" si="28"/>
        <v>-148506.00716336022</v>
      </c>
      <c r="L144" s="379">
        <f t="shared" si="28"/>
        <v>-150139.31778014899</v>
      </c>
      <c r="M144" s="379">
        <f t="shared" si="28"/>
        <v>-151829.74107263779</v>
      </c>
      <c r="N144" s="379">
        <f t="shared" si="28"/>
        <v>-153579.58050135022</v>
      </c>
      <c r="O144" s="379">
        <f t="shared" si="28"/>
        <v>-155391.24075335375</v>
      </c>
      <c r="P144" s="379">
        <f t="shared" si="28"/>
        <v>-157267.23238676309</v>
      </c>
      <c r="Q144" s="379">
        <f t="shared" si="28"/>
        <v>-159210.17669258383</v>
      </c>
      <c r="R144" s="379">
        <f t="shared" si="28"/>
        <v>-161222.81078415189</v>
      </c>
      <c r="S144" s="379">
        <f t="shared" si="28"/>
        <v>-163307.99292491472</v>
      </c>
      <c r="T144" s="379">
        <f t="shared" si="28"/>
        <v>26981.295512552988</v>
      </c>
      <c r="U144" s="379">
        <f t="shared" si="28"/>
        <v>27520.921422804047</v>
      </c>
      <c r="V144" s="379">
        <f t="shared" si="28"/>
        <v>28071.339851260134</v>
      </c>
      <c r="W144" s="379">
        <f t="shared" si="28"/>
        <v>28632.76664828532</v>
      </c>
      <c r="X144" s="379">
        <f t="shared" si="28"/>
        <v>29205.421981251035</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1500000</v>
      </c>
      <c r="F145" s="379">
        <f t="shared" si="29"/>
        <v>1500000</v>
      </c>
      <c r="G145" s="379">
        <f t="shared" si="29"/>
        <v>1500000</v>
      </c>
      <c r="H145" s="379">
        <f t="shared" si="29"/>
        <v>1500000</v>
      </c>
      <c r="I145" s="379">
        <f t="shared" si="29"/>
        <v>1500000</v>
      </c>
      <c r="J145" s="379">
        <f t="shared" si="29"/>
        <v>1500000</v>
      </c>
      <c r="K145" s="379">
        <f t="shared" si="29"/>
        <v>1500000</v>
      </c>
      <c r="L145" s="379">
        <f t="shared" si="29"/>
        <v>1500000</v>
      </c>
      <c r="M145" s="379">
        <f t="shared" si="29"/>
        <v>1500000</v>
      </c>
      <c r="N145" s="379">
        <f t="shared" si="29"/>
        <v>1500000</v>
      </c>
      <c r="O145" s="379">
        <f t="shared" si="29"/>
        <v>1500000</v>
      </c>
      <c r="P145" s="379">
        <f t="shared" si="29"/>
        <v>1500000</v>
      </c>
      <c r="Q145" s="379">
        <f t="shared" si="29"/>
        <v>1500000</v>
      </c>
      <c r="R145" s="379">
        <f t="shared" si="29"/>
        <v>1500000</v>
      </c>
      <c r="S145" s="379">
        <f t="shared" si="29"/>
        <v>1500000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2255679.9999999995</v>
      </c>
      <c r="E146" s="123">
        <f>IF(E112&lt;=$C76,D146-($C$5*E118+E132+E135),D146-(E132+E135))</f>
        <v>2104931.3599999994</v>
      </c>
      <c r="F146" s="123">
        <f t="shared" ref="F146:AR146" si="30">IF(F112&lt;=$C76,E146-($C$5*F118+F132+F135),E146-(F132+F135))</f>
        <v>1951457.0706984415</v>
      </c>
      <c r="G146" s="123">
        <f t="shared" si="30"/>
        <v>1795105.2237535014</v>
      </c>
      <c r="H146" s="123">
        <f t="shared" si="30"/>
        <v>1635716.2463771186</v>
      </c>
      <c r="I146" s="123">
        <f>IF(I112&lt;=$C76,H146-($C$5*I118+I132+I135),H146-(I132+I135))</f>
        <v>1473122.5282977996</v>
      </c>
      <c r="J146" s="123">
        <f t="shared" si="30"/>
        <v>1307148.0308246352</v>
      </c>
      <c r="K146" s="123">
        <f>IF(K112&lt;=$C76,J146-($C$5*K118+K132+K135),J146-(K132+K135))</f>
        <v>1137607.8771587468</v>
      </c>
      <c r="L146" s="123">
        <f t="shared" si="30"/>
        <v>964307.92305775662</v>
      </c>
      <c r="M146" s="123">
        <f t="shared" si="30"/>
        <v>787044.30691630894</v>
      </c>
      <c r="N146" s="123">
        <f t="shared" si="30"/>
        <v>605602.97828109993</v>
      </c>
      <c r="O146" s="123">
        <f t="shared" si="30"/>
        <v>419759.20377216628</v>
      </c>
      <c r="P146" s="123">
        <f t="shared" si="30"/>
        <v>229277.04933326613</v>
      </c>
      <c r="Q146" s="123">
        <f t="shared" si="30"/>
        <v>33908.837682941434</v>
      </c>
      <c r="R146" s="123">
        <f t="shared" si="30"/>
        <v>-166605.42021583085</v>
      </c>
      <c r="S146" s="123">
        <f t="shared" si="30"/>
        <v>-372538.62090572203</v>
      </c>
      <c r="T146" s="123">
        <f t="shared" si="30"/>
        <v>-405848.86227924423</v>
      </c>
      <c r="U146" s="123">
        <f t="shared" si="30"/>
        <v>-439825.30848023691</v>
      </c>
      <c r="V146" s="123">
        <f t="shared" si="30"/>
        <v>-474481.28360524942</v>
      </c>
      <c r="W146" s="123">
        <f t="shared" si="30"/>
        <v>-509830.37823276216</v>
      </c>
      <c r="X146" s="123">
        <f t="shared" si="30"/>
        <v>-545886.4547528252</v>
      </c>
      <c r="Y146" s="123">
        <f t="shared" si="30"/>
        <v>-545886.4547528252</v>
      </c>
      <c r="Z146" s="123">
        <f t="shared" si="30"/>
        <v>-545886.4547528252</v>
      </c>
      <c r="AA146" s="123">
        <f>IF(AA112&lt;=$C76,Z146-($C$5*AA118+AA132+AA135),Z146-(AA132+AA135))</f>
        <v>-545886.4547528252</v>
      </c>
      <c r="AB146" s="123">
        <f t="shared" si="30"/>
        <v>-545886.4547528252</v>
      </c>
      <c r="AC146" s="123">
        <f t="shared" si="30"/>
        <v>-545886.4547528252</v>
      </c>
      <c r="AD146" s="123">
        <f t="shared" si="30"/>
        <v>-545886.4547528252</v>
      </c>
      <c r="AE146" s="123">
        <f>IF(AE112&lt;=$C76,AD146-($C$5*AE118+AE132+AE135),AD146-(AE132+AE135))</f>
        <v>-545886.4547528252</v>
      </c>
      <c r="AF146" s="123">
        <f t="shared" si="30"/>
        <v>-545886.4547528252</v>
      </c>
      <c r="AG146" s="123">
        <f>IF(AG112&lt;=$C76,AF146-($C$5*AG118+AG132+AG135),AF146-(AG132+AG135))</f>
        <v>-545886.4547528252</v>
      </c>
      <c r="AH146" s="123">
        <f t="shared" si="30"/>
        <v>-545886.4547528252</v>
      </c>
      <c r="AI146" s="123">
        <f t="shared" si="30"/>
        <v>-545886.4547528252</v>
      </c>
      <c r="AJ146" s="123">
        <f t="shared" si="30"/>
        <v>-545886.4547528252</v>
      </c>
      <c r="AK146" s="123">
        <f t="shared" si="30"/>
        <v>-545886.4547528252</v>
      </c>
      <c r="AL146" s="123">
        <f t="shared" si="30"/>
        <v>-545886.4547528252</v>
      </c>
      <c r="AM146" s="123">
        <f t="shared" si="30"/>
        <v>-545886.4547528252</v>
      </c>
      <c r="AN146" s="123">
        <f t="shared" si="30"/>
        <v>-545886.4547528252</v>
      </c>
      <c r="AO146" s="123">
        <f t="shared" si="30"/>
        <v>-545886.4547528252</v>
      </c>
      <c r="AP146" s="123">
        <f t="shared" si="30"/>
        <v>-545886.4547528252</v>
      </c>
      <c r="AQ146" s="123">
        <f t="shared" si="30"/>
        <v>-545886.4547528252</v>
      </c>
      <c r="AR146" s="387">
        <f t="shared" si="30"/>
        <v>-545886.4547528252</v>
      </c>
    </row>
    <row r="147" spans="1:44" ht="13" thickBot="1" x14ac:dyDescent="0.3">
      <c r="B147" s="124" t="s">
        <v>473</v>
      </c>
      <c r="C147" s="125"/>
      <c r="D147" s="125"/>
      <c r="E147" s="126">
        <f t="shared" ref="E147:AR147" si="31">IF(E112&gt;$C$74,"",(-$C$94*(E139+$C$5*E118)+E132+$C$5*E118)/-E137)</f>
        <v>1.5089334498100826</v>
      </c>
      <c r="F147" s="126">
        <f t="shared" si="31"/>
        <v>1.5000149423123474</v>
      </c>
      <c r="G147" s="126">
        <f t="shared" si="31"/>
        <v>1.490794336255264</v>
      </c>
      <c r="H147" s="126">
        <f t="shared" si="31"/>
        <v>1.481259712568199</v>
      </c>
      <c r="I147" s="126">
        <f t="shared" si="31"/>
        <v>1.4713986346368835</v>
      </c>
      <c r="J147" s="126">
        <f t="shared" si="31"/>
        <v>1.4611981246923329</v>
      </c>
      <c r="K147" s="126">
        <f t="shared" si="31"/>
        <v>1.4506446390976886</v>
      </c>
      <c r="L147" s="126">
        <f t="shared" si="31"/>
        <v>1.4397240424810172</v>
      </c>
      <c r="M147" s="126">
        <f t="shared" si="31"/>
        <v>1.4284215806596454</v>
      </c>
      <c r="N147" s="126">
        <f t="shared" si="31"/>
        <v>1.416721852299043</v>
      </c>
      <c r="O147" s="126">
        <f t="shared" si="31"/>
        <v>1.404608779246542</v>
      </c>
      <c r="P147" s="126">
        <f t="shared" si="31"/>
        <v>1.3920655754773816</v>
      </c>
      <c r="Q147" s="126">
        <f t="shared" si="31"/>
        <v>1.379074714587587</v>
      </c>
      <c r="R147" s="126">
        <f t="shared" si="31"/>
        <v>1.3656178957650966</v>
      </c>
      <c r="S147" s="126">
        <f t="shared" si="31"/>
        <v>1.3516760081672989</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-1353392.312285004</v>
      </c>
      <c r="D150" s="57" t="s">
        <v>476</v>
      </c>
    </row>
    <row r="151" spans="1:44" x14ac:dyDescent="0.25">
      <c r="B151" s="26" t="s">
        <v>477</v>
      </c>
      <c r="C151" s="153">
        <f>(1-$C$94)*NPV($C$91,E145:AR145)</f>
        <v>11424242.658503216</v>
      </c>
      <c r="D151" s="58" t="str">
        <f>$C$7</f>
        <v>kWh</v>
      </c>
      <c r="F151" s="59"/>
    </row>
    <row r="152" spans="1:44" x14ac:dyDescent="0.25">
      <c r="B152" s="26" t="s">
        <v>478</v>
      </c>
      <c r="C152" s="153">
        <f>$C$41*1000000</f>
        <v>2255679.9999999995</v>
      </c>
      <c r="D152" s="57" t="s">
        <v>424</v>
      </c>
      <c r="F152" s="60"/>
    </row>
    <row r="153" spans="1:44" x14ac:dyDescent="0.25">
      <c r="B153" s="26" t="s">
        <v>479</v>
      </c>
      <c r="C153" s="154">
        <f>AVERAGE(E147:AR147)</f>
        <v>1.4361436192037609</v>
      </c>
      <c r="D153" s="57"/>
      <c r="F153" s="60"/>
    </row>
    <row r="154" spans="1:44" x14ac:dyDescent="0.25">
      <c r="B154" s="26" t="s">
        <v>480</v>
      </c>
      <c r="C154" s="155" t="str">
        <f>CONCATENATE(ROUND(((1-$C$94)*$C$90*$C$92+$C$93*$C$91)*100,1),"% / ",ROUND((((1+(1-$C$94)*$C$90*$C$92+$C$93*$C$91)/(1+$C$89))-1)*100,1),"%")</f>
        <v>4.6% / 2.6%</v>
      </c>
      <c r="D154" s="57"/>
      <c r="F154" s="59"/>
      <c r="G154" s="61"/>
    </row>
    <row r="155" spans="1:44" x14ac:dyDescent="0.25">
      <c r="B155" s="26" t="s">
        <v>481</v>
      </c>
      <c r="C155" s="156">
        <f>IFERROR(IRR(D143:AR143),"n.v.t.")</f>
        <v>-0.14917898001852714</v>
      </c>
      <c r="D155" s="57"/>
      <c r="F155" s="60"/>
      <c r="G155" s="61"/>
    </row>
    <row r="156" spans="1:44" x14ac:dyDescent="0.25">
      <c r="B156" s="26" t="s">
        <v>482</v>
      </c>
      <c r="C156" s="156" t="str">
        <f>IFERROR(IRR(D144:AR144),"n.v.t.")</f>
        <v>n.v.t.</v>
      </c>
      <c r="D156" s="57"/>
      <c r="G156" s="61"/>
    </row>
    <row r="157" spans="1:44" x14ac:dyDescent="0.25">
      <c r="B157" s="38" t="s">
        <v>483</v>
      </c>
      <c r="C157" s="153">
        <f>$C$92*C152-C97</f>
        <v>1578975.9999999995</v>
      </c>
      <c r="D157" s="57" t="s">
        <v>424</v>
      </c>
      <c r="F157" s="35"/>
    </row>
    <row r="158" spans="1:44" x14ac:dyDescent="0.25">
      <c r="B158" s="38" t="s">
        <v>484</v>
      </c>
      <c r="C158" s="153">
        <f>$C$93*C152-C98</f>
        <v>676703.99999999988</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1500</v>
      </c>
      <c r="D160" s="57" t="s">
        <v>340</v>
      </c>
      <c r="F160" s="35"/>
    </row>
    <row r="161" spans="2:44" x14ac:dyDescent="0.25">
      <c r="B161" s="43" t="s">
        <v>487</v>
      </c>
      <c r="C161" s="461" t="str">
        <f>CONCATENATE( "tussen ", INDEX(D112:X112, MATCH(0,D146:X146, -1)), " en ",  1 + INDEX(D112:X112, MATCH(0,D146:X146, -1)), " jaar")</f>
        <v>tussen 13 en 14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26" priority="3" operator="containsText" text="Pas op">
      <formula>NOT(ISERROR(SEARCH("Pas op",G1)))</formula>
    </cfRule>
  </conditionalFormatting>
  <conditionalFormatting sqref="G105">
    <cfRule type="containsText" dxfId="25" priority="1" operator="containsText" text="Pas op">
      <formula>NOT(ISERROR(SEARCH("Pas op",G105)))</formula>
    </cfRule>
  </conditionalFormatting>
  <conditionalFormatting sqref="G184:G1048576">
    <cfRule type="containsText" dxfId="24" priority="2" operator="containsText" text="Pas op">
      <formula>NOT(ISERROR(SEARCH("Pas op",G184)))</formula>
    </cfRule>
  </conditionalFormatting>
  <dataValidations count="3">
    <dataValidation type="list" allowBlank="1" showInputMessage="1" showErrorMessage="1" sqref="C14" xr:uid="{F5119338-8BB7-4CD4-AB14-1275F7031F3F}">
      <formula1>"Nee,Ja,Geen warmte"</formula1>
    </dataValidation>
    <dataValidation type="list" allowBlank="1" showInputMessage="1" showErrorMessage="1" sqref="C7" xr:uid="{F9CCE7F9-BC4C-47B7-A41A-950E1D22F9A6}">
      <formula1>"t CO2,kWh"</formula1>
    </dataValidation>
    <dataValidation type="list" allowBlank="1" showInputMessage="1" showErrorMessage="1" sqref="C37361 C102897 C168433 C233969 C299505 C365041 C430577 C496113 C561649 C627185 C692721 C758257 C823793 C889329 C954865" xr:uid="{ADBB9027-845F-49DA-AAED-A963F24D0B1F}">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B25A2101-DA5D-470B-A19B-96B8AD19DF90}">
          <x14:formula1>
            <xm:f>Correcties!$A$8:$A$8</xm:f>
          </x14:formula1>
          <xm:sqref>C15</xm:sqref>
        </x14:dataValidation>
        <x14:dataValidation type="list" allowBlank="1" showInputMessage="1" showErrorMessage="1" xr:uid="{FCA4D5F7-EC15-4858-AE11-820C8FC769EC}">
          <x14:formula1>
            <xm:f>Correcties!$A$27:$A$38</xm:f>
          </x14:formula1>
          <xm:sqref>C13</xm:sqref>
        </x14:dataValidation>
        <x14:dataValidation type="list" allowBlank="1" showInputMessage="1" showErrorMessage="1" xr:uid="{09F62AB6-C2AD-4C88-9F2C-20DE4122DECB}">
          <x14:formula1>
            <xm:f>Colofon!$B$34:$B$39</xm:f>
          </x14:formula1>
          <xm:sqref>C9</xm:sqref>
        </x14:dataValidation>
        <x14:dataValidation type="list" allowBlank="1" showInputMessage="1" showErrorMessage="1" xr:uid="{0C5CAA54-591B-4649-A610-0177921C379A}">
          <x14:formula1>
            <xm:f>Correcties!$A$10:$A$10</xm:f>
          </x14:formula1>
          <xm:sqref>C16</xm:sqref>
        </x14:dataValidation>
        <x14:dataValidation type="list" allowBlank="1" showInputMessage="1" showErrorMessage="1" xr:uid="{26AC3E1D-D423-4A59-ABCE-FD2F7E7577F2}">
          <x14:formula1>
            <xm:f>Correcties!$A$4:$A$10</xm:f>
          </x14:formula1>
          <xm:sqref>C12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023E5-6302-4C48-B477-DF1AEFCAD17C}">
  <sheetPr codeName="Sheet103">
    <tabColor theme="5" tint="0.59999389629810485"/>
    <pageSetUpPr fitToPage="1"/>
  </sheetPr>
  <dimension ref="A1:AR198"/>
  <sheetViews>
    <sheetView showGridLines="0" topLeftCell="A116"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518</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0.19189999999999999</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1311.9853613906678</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IFERROR(INDEX(Correcties!$A$1:$I$301,MATCH('14'!C12,Correcties!$A$1:$A$301,0),5),"")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1000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f>1380</f>
        <v>1380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2240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2.2556799999999995</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13.8</v>
      </c>
      <c r="D43" s="99" t="str">
        <f>CONCATENATE("Euro/",$C$8,"/jaar")</f>
        <v>Euro/kW/jaar</v>
      </c>
      <c r="E43" s="447" t="s">
        <v>357</v>
      </c>
      <c r="F43" s="447"/>
      <c r="G43" s="447"/>
      <c r="H43" s="447"/>
      <c r="I43" s="447"/>
      <c r="J43" s="447"/>
      <c r="K43" s="447"/>
      <c r="L43" s="447"/>
      <c r="M43" s="448"/>
    </row>
    <row r="44" spans="2:13" x14ac:dyDescent="0.25">
      <c r="B44" s="96" t="s">
        <v>359</v>
      </c>
      <c r="C44" s="348">
        <f>(C42*C21+C43*SUM(C26,C28))/1000</f>
        <v>13.8</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1.7999999999999999E-2</v>
      </c>
      <c r="D48" s="99" t="str">
        <f>CONCATENATE("Euro/",$C$7)</f>
        <v>Euro/kWh</v>
      </c>
      <c r="E48" s="447"/>
      <c r="F48" s="447"/>
      <c r="G48" s="447"/>
      <c r="H48" s="447"/>
      <c r="I48" s="447"/>
      <c r="J48" s="447"/>
      <c r="K48" s="447"/>
      <c r="L48" s="447"/>
      <c r="M48" s="448"/>
    </row>
    <row r="49" spans="2:13" x14ac:dyDescent="0.25">
      <c r="B49" s="97" t="s">
        <v>366</v>
      </c>
      <c r="C49" s="142">
        <f>SUM(C45:C48)</f>
        <v>1.7999999999999999E-2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1380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20700000</v>
      </c>
      <c r="D84" s="98" t="str">
        <f>C7</f>
        <v>kWh</v>
      </c>
      <c r="E84" s="447"/>
      <c r="F84" s="447"/>
      <c r="G84" s="447"/>
      <c r="H84" s="447"/>
      <c r="I84" s="447"/>
      <c r="J84" s="447"/>
      <c r="K84" s="447"/>
      <c r="L84" s="447"/>
      <c r="M84" s="448"/>
    </row>
    <row r="85" spans="2:13" x14ac:dyDescent="0.25">
      <c r="B85" s="113" t="s">
        <v>413</v>
      </c>
      <c r="C85" s="145">
        <f>IF(C77=0,SUM(E118:INDEX(E118:AR118,1,C73)),SUM(E118:INDEX(E118:AR118,1,C77)))</f>
        <v>27600000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4.7500000000000001E-2</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-2255679.9999999995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1380000</v>
      </c>
      <c r="F115" s="379">
        <f t="shared" si="4"/>
        <v>1380000</v>
      </c>
      <c r="G115" s="379">
        <f t="shared" si="4"/>
        <v>1380000</v>
      </c>
      <c r="H115" s="379">
        <f t="shared" si="4"/>
        <v>1380000</v>
      </c>
      <c r="I115" s="379">
        <f t="shared" si="4"/>
        <v>1380000</v>
      </c>
      <c r="J115" s="379">
        <f t="shared" si="4"/>
        <v>1380000</v>
      </c>
      <c r="K115" s="379">
        <f t="shared" si="4"/>
        <v>1380000</v>
      </c>
      <c r="L115" s="379">
        <f t="shared" si="4"/>
        <v>1380000</v>
      </c>
      <c r="M115" s="379">
        <f t="shared" si="4"/>
        <v>1380000</v>
      </c>
      <c r="N115" s="379">
        <f t="shared" si="4"/>
        <v>1380000</v>
      </c>
      <c r="O115" s="379">
        <f t="shared" si="4"/>
        <v>1380000</v>
      </c>
      <c r="P115" s="379">
        <f t="shared" si="4"/>
        <v>1380000</v>
      </c>
      <c r="Q115" s="379">
        <f t="shared" si="4"/>
        <v>1380000</v>
      </c>
      <c r="R115" s="379">
        <f t="shared" si="4"/>
        <v>1380000</v>
      </c>
      <c r="S115" s="379">
        <f t="shared" si="4"/>
        <v>1380000</v>
      </c>
      <c r="T115" s="379">
        <f t="shared" si="4"/>
        <v>1380000</v>
      </c>
      <c r="U115" s="379">
        <f t="shared" si="4"/>
        <v>1380000</v>
      </c>
      <c r="V115" s="379">
        <f t="shared" si="4"/>
        <v>1380000</v>
      </c>
      <c r="W115" s="379">
        <f t="shared" si="4"/>
        <v>1380000</v>
      </c>
      <c r="X115" s="379">
        <f t="shared" si="4"/>
        <v>1380000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1380000</v>
      </c>
      <c r="F118" s="150">
        <f t="shared" ref="F118:AR118" si="7">SUM(F115:F117)</f>
        <v>1380000</v>
      </c>
      <c r="G118" s="150">
        <f t="shared" si="7"/>
        <v>1380000</v>
      </c>
      <c r="H118" s="150">
        <f t="shared" si="7"/>
        <v>1380000</v>
      </c>
      <c r="I118" s="150">
        <f t="shared" si="7"/>
        <v>1380000</v>
      </c>
      <c r="J118" s="150">
        <f t="shared" si="7"/>
        <v>1380000</v>
      </c>
      <c r="K118" s="150">
        <f t="shared" si="7"/>
        <v>1380000</v>
      </c>
      <c r="L118" s="150">
        <f t="shared" si="7"/>
        <v>1380000</v>
      </c>
      <c r="M118" s="150">
        <f t="shared" si="7"/>
        <v>1380000</v>
      </c>
      <c r="N118" s="150">
        <f t="shared" si="7"/>
        <v>1380000</v>
      </c>
      <c r="O118" s="150">
        <f t="shared" si="7"/>
        <v>1380000</v>
      </c>
      <c r="P118" s="150">
        <f t="shared" si="7"/>
        <v>1380000</v>
      </c>
      <c r="Q118" s="150">
        <f t="shared" si="7"/>
        <v>1380000</v>
      </c>
      <c r="R118" s="150">
        <f t="shared" si="7"/>
        <v>1380000</v>
      </c>
      <c r="S118" s="150">
        <f t="shared" si="7"/>
        <v>1380000</v>
      </c>
      <c r="T118" s="150">
        <f t="shared" si="7"/>
        <v>1380000</v>
      </c>
      <c r="U118" s="150">
        <f t="shared" si="7"/>
        <v>1380000</v>
      </c>
      <c r="V118" s="150">
        <f t="shared" si="7"/>
        <v>1380000</v>
      </c>
      <c r="W118" s="150">
        <f t="shared" si="7"/>
        <v>1380000</v>
      </c>
      <c r="X118" s="150">
        <f t="shared" si="7"/>
        <v>1380000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-38640</v>
      </c>
      <c r="F120" s="379">
        <f t="shared" ref="F120:AR120" si="8">IF(F112&gt;$C$73,0,-F109*(($C$42*$C$21+$C$43*SUM($C$26,$C$28))+F118*$C$49))+IF($C$101=F112,$D$101*F109,0)+IF($C$102=F112,$D$102*F109,0)+IF($C$103=F112,$D$103*F109,0)</f>
        <v>-39412.800000000003</v>
      </c>
      <c r="G120" s="379">
        <f t="shared" si="8"/>
        <v>-40201.055999999997</v>
      </c>
      <c r="H120" s="379">
        <f t="shared" si="8"/>
        <v>-41005.077119999994</v>
      </c>
      <c r="I120" s="379">
        <f t="shared" si="8"/>
        <v>-41825.178662400001</v>
      </c>
      <c r="J120" s="379">
        <f t="shared" si="8"/>
        <v>-42661.682235647997</v>
      </c>
      <c r="K120" s="379">
        <f t="shared" si="8"/>
        <v>-43514.915880360961</v>
      </c>
      <c r="L120" s="379">
        <f t="shared" si="8"/>
        <v>-44385.214197968169</v>
      </c>
      <c r="M120" s="379">
        <f t="shared" si="8"/>
        <v>-45272.91848192754</v>
      </c>
      <c r="N120" s="379">
        <f t="shared" si="8"/>
        <v>-46178.376851566092</v>
      </c>
      <c r="O120" s="379">
        <f t="shared" si="8"/>
        <v>-47101.944388597418</v>
      </c>
      <c r="P120" s="379">
        <f t="shared" si="8"/>
        <v>-48043.983276369356</v>
      </c>
      <c r="Q120" s="379">
        <f t="shared" si="8"/>
        <v>-49004.862941896747</v>
      </c>
      <c r="R120" s="379">
        <f t="shared" si="8"/>
        <v>-49984.960200734684</v>
      </c>
      <c r="S120" s="379">
        <f t="shared" si="8"/>
        <v>-50984.659404749378</v>
      </c>
      <c r="T120" s="379">
        <f t="shared" si="8"/>
        <v>-52004.352592844356</v>
      </c>
      <c r="U120" s="379">
        <f t="shared" si="8"/>
        <v>-53044.439644701248</v>
      </c>
      <c r="V120" s="379">
        <f t="shared" si="8"/>
        <v>-54105.328437595279</v>
      </c>
      <c r="W120" s="379">
        <f t="shared" si="8"/>
        <v>-55187.435006347179</v>
      </c>
      <c r="X120" s="379">
        <f t="shared" si="8"/>
        <v>-56291.183706474119</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81163.93601097494</v>
      </c>
      <c r="U127" s="379">
        <f t="shared" si="15"/>
        <v>82787.214731194457</v>
      </c>
      <c r="V127" s="379">
        <f t="shared" si="15"/>
        <v>84442.959025818345</v>
      </c>
      <c r="W127" s="379">
        <f t="shared" si="15"/>
        <v>86131.818206334705</v>
      </c>
      <c r="X127" s="379">
        <f t="shared" si="15"/>
        <v>87854.454570461399</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81163.93601097494</v>
      </c>
      <c r="U130" s="379">
        <f t="shared" si="17"/>
        <v>82787.214731194457</v>
      </c>
      <c r="V130" s="379">
        <f t="shared" si="17"/>
        <v>84442.959025818345</v>
      </c>
      <c r="W130" s="379">
        <f t="shared" si="17"/>
        <v>86131.818206334705</v>
      </c>
      <c r="X130" s="379">
        <f t="shared" si="17"/>
        <v>87854.454570461399</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-38640</v>
      </c>
      <c r="F131" s="379">
        <f t="shared" si="18"/>
        <v>-39412.800000000003</v>
      </c>
      <c r="G131" s="379">
        <f t="shared" si="18"/>
        <v>-40201.055999999997</v>
      </c>
      <c r="H131" s="379">
        <f t="shared" si="18"/>
        <v>-41005.077119999994</v>
      </c>
      <c r="I131" s="379">
        <f t="shared" si="18"/>
        <v>-41825.178662400001</v>
      </c>
      <c r="J131" s="379">
        <f t="shared" si="18"/>
        <v>-42661.682235647997</v>
      </c>
      <c r="K131" s="379">
        <f t="shared" si="18"/>
        <v>-43514.915880360961</v>
      </c>
      <c r="L131" s="379">
        <f t="shared" si="18"/>
        <v>-44385.214197968169</v>
      </c>
      <c r="M131" s="379">
        <f t="shared" si="18"/>
        <v>-45272.91848192754</v>
      </c>
      <c r="N131" s="379">
        <f t="shared" si="18"/>
        <v>-46178.376851566092</v>
      </c>
      <c r="O131" s="379">
        <f t="shared" si="18"/>
        <v>-47101.944388597418</v>
      </c>
      <c r="P131" s="379">
        <f t="shared" si="18"/>
        <v>-48043.983276369356</v>
      </c>
      <c r="Q131" s="379">
        <f t="shared" si="18"/>
        <v>-49004.862941896747</v>
      </c>
      <c r="R131" s="379">
        <f t="shared" si="18"/>
        <v>-49984.960200734684</v>
      </c>
      <c r="S131" s="379">
        <f t="shared" si="18"/>
        <v>-50984.659404749378</v>
      </c>
      <c r="T131" s="379">
        <f t="shared" si="18"/>
        <v>-52004.352592844356</v>
      </c>
      <c r="U131" s="379">
        <f t="shared" si="18"/>
        <v>-53044.439644701248</v>
      </c>
      <c r="V131" s="379">
        <f t="shared" si="18"/>
        <v>-54105.328437595279</v>
      </c>
      <c r="W131" s="379">
        <f t="shared" si="18"/>
        <v>-55187.435006347179</v>
      </c>
      <c r="X131" s="379">
        <f t="shared" si="18"/>
        <v>-56291.183706474119</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-38640</v>
      </c>
      <c r="F132" s="386">
        <f t="shared" ref="F132:AR132" si="19">SUM(F130:F131)</f>
        <v>-39412.800000000003</v>
      </c>
      <c r="G132" s="386">
        <f t="shared" si="19"/>
        <v>-40201.055999999997</v>
      </c>
      <c r="H132" s="386">
        <f t="shared" si="19"/>
        <v>-41005.077119999994</v>
      </c>
      <c r="I132" s="386">
        <f t="shared" si="19"/>
        <v>-41825.178662400001</v>
      </c>
      <c r="J132" s="386">
        <f t="shared" si="19"/>
        <v>-42661.682235647997</v>
      </c>
      <c r="K132" s="386">
        <f t="shared" si="19"/>
        <v>-43514.915880360961</v>
      </c>
      <c r="L132" s="386">
        <f t="shared" si="19"/>
        <v>-44385.214197968169</v>
      </c>
      <c r="M132" s="386">
        <f t="shared" si="19"/>
        <v>-45272.91848192754</v>
      </c>
      <c r="N132" s="386">
        <f t="shared" si="19"/>
        <v>-46178.376851566092</v>
      </c>
      <c r="O132" s="386">
        <f t="shared" si="19"/>
        <v>-47101.944388597418</v>
      </c>
      <c r="P132" s="386">
        <f t="shared" si="19"/>
        <v>-48043.983276369356</v>
      </c>
      <c r="Q132" s="386">
        <f t="shared" si="19"/>
        <v>-49004.862941896747</v>
      </c>
      <c r="R132" s="386">
        <f t="shared" si="19"/>
        <v>-49984.960200734684</v>
      </c>
      <c r="S132" s="386">
        <f t="shared" si="19"/>
        <v>-50984.659404749378</v>
      </c>
      <c r="T132" s="386">
        <f t="shared" si="19"/>
        <v>29159.583418130584</v>
      </c>
      <c r="U132" s="386">
        <f t="shared" si="19"/>
        <v>29742.77508649321</v>
      </c>
      <c r="V132" s="386">
        <f t="shared" si="19"/>
        <v>30337.630588223066</v>
      </c>
      <c r="W132" s="386">
        <f t="shared" si="19"/>
        <v>30944.383199987526</v>
      </c>
      <c r="X132" s="386">
        <f t="shared" si="19"/>
        <v>31563.27086398728</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-150378.66666666663</v>
      </c>
      <c r="F134" s="379">
        <f t="shared" si="20"/>
        <v>-150378.66666666663</v>
      </c>
      <c r="G134" s="379">
        <f t="shared" si="20"/>
        <v>-150378.66666666663</v>
      </c>
      <c r="H134" s="379">
        <f t="shared" si="20"/>
        <v>-150378.66666666663</v>
      </c>
      <c r="I134" s="379">
        <f t="shared" si="20"/>
        <v>-150378.66666666663</v>
      </c>
      <c r="J134" s="379">
        <f t="shared" si="20"/>
        <v>-150378.66666666663</v>
      </c>
      <c r="K134" s="379">
        <f t="shared" si="20"/>
        <v>-150378.66666666663</v>
      </c>
      <c r="L134" s="379">
        <f t="shared" si="20"/>
        <v>-150378.66666666663</v>
      </c>
      <c r="M134" s="379">
        <f t="shared" si="20"/>
        <v>-150378.66666666663</v>
      </c>
      <c r="N134" s="379">
        <f t="shared" si="20"/>
        <v>-150378.66666666663</v>
      </c>
      <c r="O134" s="379">
        <f t="shared" si="20"/>
        <v>-150378.66666666663</v>
      </c>
      <c r="P134" s="379">
        <f t="shared" si="20"/>
        <v>-150378.66666666663</v>
      </c>
      <c r="Q134" s="379">
        <f t="shared" si="20"/>
        <v>-150378.66666666663</v>
      </c>
      <c r="R134" s="379">
        <f t="shared" si="20"/>
        <v>-150378.66666666663</v>
      </c>
      <c r="S134" s="379">
        <f t="shared" si="20"/>
        <v>-150378.66666666663</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-75001.359999999986</v>
      </c>
      <c r="F135" s="379">
        <f t="shared" si="21"/>
        <v>-71459.710698441966</v>
      </c>
      <c r="G135" s="379">
        <f t="shared" si="21"/>
        <v>-67749.833055059949</v>
      </c>
      <c r="H135" s="379">
        <f t="shared" si="21"/>
        <v>-63863.736223617292</v>
      </c>
      <c r="I135" s="379">
        <f t="shared" si="21"/>
        <v>-59793.049792681115</v>
      </c>
      <c r="J135" s="379">
        <f t="shared" si="21"/>
        <v>-55529.005756275466</v>
      </c>
      <c r="K135" s="379">
        <f t="shared" si="21"/>
        <v>-51062.419628140538</v>
      </c>
      <c r="L135" s="379">
        <f t="shared" si="21"/>
        <v>-46383.670658919211</v>
      </c>
      <c r="M135" s="379">
        <f t="shared" si="21"/>
        <v>-41482.681113659884</v>
      </c>
      <c r="N135" s="379">
        <f t="shared" si="21"/>
        <v>-36348.894565000723</v>
      </c>
      <c r="O135" s="379">
        <f t="shared" si="21"/>
        <v>-30971.25315528025</v>
      </c>
      <c r="P135" s="379">
        <f t="shared" si="21"/>
        <v>-25338.173778598062</v>
      </c>
      <c r="Q135" s="379">
        <f t="shared" si="21"/>
        <v>-19437.523131523463</v>
      </c>
      <c r="R135" s="379">
        <f t="shared" si="21"/>
        <v>-13256.591578712823</v>
      </c>
      <c r="S135" s="379">
        <f t="shared" si="21"/>
        <v>-6782.0657771436781</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-74561.037927536949</v>
      </c>
      <c r="F136" s="379">
        <f t="shared" si="22"/>
        <v>-78102.687229094954</v>
      </c>
      <c r="G136" s="379">
        <f t="shared" si="22"/>
        <v>-81812.564872476971</v>
      </c>
      <c r="H136" s="379">
        <f t="shared" si="22"/>
        <v>-85698.661703919614</v>
      </c>
      <c r="I136" s="379">
        <f t="shared" si="22"/>
        <v>-89769.348134855798</v>
      </c>
      <c r="J136" s="379">
        <f t="shared" si="22"/>
        <v>-94033.392171261439</v>
      </c>
      <c r="K136" s="379">
        <f t="shared" si="22"/>
        <v>-98499.978299396374</v>
      </c>
      <c r="L136" s="379">
        <f t="shared" si="22"/>
        <v>-103178.72726861769</v>
      </c>
      <c r="M136" s="379">
        <f t="shared" si="22"/>
        <v>-108079.71681387704</v>
      </c>
      <c r="N136" s="379">
        <f t="shared" si="22"/>
        <v>-113213.5033625362</v>
      </c>
      <c r="O136" s="379">
        <f t="shared" si="22"/>
        <v>-118591.14477225668</v>
      </c>
      <c r="P136" s="379">
        <f t="shared" si="22"/>
        <v>-124224.22414893885</v>
      </c>
      <c r="Q136" s="379">
        <f t="shared" si="22"/>
        <v>-130124.87479601348</v>
      </c>
      <c r="R136" s="379">
        <f t="shared" si="22"/>
        <v>-136305.80634882412</v>
      </c>
      <c r="S136" s="379">
        <f t="shared" si="22"/>
        <v>-142780.33215039322</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-149562.39792753692</v>
      </c>
      <c r="F137" s="386">
        <f t="shared" ref="F137:AR137" si="23">SUM(F135,F136)</f>
        <v>-149562.39792753692</v>
      </c>
      <c r="G137" s="386">
        <f t="shared" si="23"/>
        <v>-149562.39792753692</v>
      </c>
      <c r="H137" s="386">
        <f t="shared" si="23"/>
        <v>-149562.39792753692</v>
      </c>
      <c r="I137" s="386">
        <f t="shared" si="23"/>
        <v>-149562.39792753692</v>
      </c>
      <c r="J137" s="386">
        <f t="shared" si="23"/>
        <v>-149562.39792753692</v>
      </c>
      <c r="K137" s="386">
        <f t="shared" si="23"/>
        <v>-149562.39792753692</v>
      </c>
      <c r="L137" s="386">
        <f t="shared" si="23"/>
        <v>-149562.39792753689</v>
      </c>
      <c r="M137" s="386">
        <f t="shared" si="23"/>
        <v>-149562.39792753692</v>
      </c>
      <c r="N137" s="386">
        <f t="shared" si="23"/>
        <v>-149562.39792753692</v>
      </c>
      <c r="O137" s="386">
        <f t="shared" si="23"/>
        <v>-149562.39792753692</v>
      </c>
      <c r="P137" s="386">
        <f t="shared" si="23"/>
        <v>-149562.39792753692</v>
      </c>
      <c r="Q137" s="386">
        <f t="shared" si="23"/>
        <v>-149562.39792753695</v>
      </c>
      <c r="R137" s="386">
        <f t="shared" si="23"/>
        <v>-149562.39792753695</v>
      </c>
      <c r="S137" s="386">
        <f t="shared" si="23"/>
        <v>-149562.39792753689</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-264020.02666666661</v>
      </c>
      <c r="F139" s="379">
        <f t="shared" ref="F139:AR139" si="24">F132+F134+F135</f>
        <v>-261251.17736510857</v>
      </c>
      <c r="G139" s="379">
        <f t="shared" si="24"/>
        <v>-258329.55572172656</v>
      </c>
      <c r="H139" s="379">
        <f t="shared" si="24"/>
        <v>-255247.48001028394</v>
      </c>
      <c r="I139" s="379">
        <f t="shared" si="24"/>
        <v>-251996.89512174774</v>
      </c>
      <c r="J139" s="379">
        <f t="shared" si="24"/>
        <v>-248569.35465859008</v>
      </c>
      <c r="K139" s="379">
        <f t="shared" si="24"/>
        <v>-244956.00217516813</v>
      </c>
      <c r="L139" s="379">
        <f t="shared" si="24"/>
        <v>-241147.55152355399</v>
      </c>
      <c r="M139" s="379">
        <f t="shared" si="24"/>
        <v>-237134.26626225404</v>
      </c>
      <c r="N139" s="379">
        <f t="shared" si="24"/>
        <v>-232905.93808323343</v>
      </c>
      <c r="O139" s="379">
        <f t="shared" si="24"/>
        <v>-228451.8642105443</v>
      </c>
      <c r="P139" s="379">
        <f t="shared" si="24"/>
        <v>-223760.82372163402</v>
      </c>
      <c r="Q139" s="379">
        <f t="shared" si="24"/>
        <v>-218821.05274008683</v>
      </c>
      <c r="R139" s="379">
        <f t="shared" si="24"/>
        <v>-213620.21844611413</v>
      </c>
      <c r="S139" s="379">
        <f t="shared" si="24"/>
        <v>-208145.39184855967</v>
      </c>
      <c r="T139" s="379">
        <f t="shared" si="24"/>
        <v>29159.583418130584</v>
      </c>
      <c r="U139" s="379">
        <f t="shared" si="24"/>
        <v>29742.77508649321</v>
      </c>
      <c r="V139" s="379">
        <f t="shared" si="24"/>
        <v>30337.630588223066</v>
      </c>
      <c r="W139" s="379">
        <f t="shared" si="24"/>
        <v>30944.383199987526</v>
      </c>
      <c r="X139" s="379">
        <f t="shared" si="24"/>
        <v>31563.27086398728</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50163.80506666666</v>
      </c>
      <c r="F140" s="379">
        <f t="shared" si="25"/>
        <v>49637.723699370632</v>
      </c>
      <c r="G140" s="379">
        <f t="shared" si="25"/>
        <v>49082.61558712805</v>
      </c>
      <c r="H140" s="379">
        <f t="shared" si="25"/>
        <v>48497.021201953947</v>
      </c>
      <c r="I140" s="379">
        <f t="shared" si="25"/>
        <v>47879.410073132072</v>
      </c>
      <c r="J140" s="379">
        <f t="shared" si="25"/>
        <v>47228.177385132112</v>
      </c>
      <c r="K140" s="379">
        <f t="shared" si="25"/>
        <v>46541.640413281944</v>
      </c>
      <c r="L140" s="379">
        <f t="shared" si="25"/>
        <v>45818.034789475256</v>
      </c>
      <c r="M140" s="379">
        <f t="shared" si="25"/>
        <v>45055.510589828271</v>
      </c>
      <c r="N140" s="379">
        <f t="shared" si="25"/>
        <v>44252.128235814351</v>
      </c>
      <c r="O140" s="379">
        <f t="shared" si="25"/>
        <v>43405.854200003414</v>
      </c>
      <c r="P140" s="379">
        <f t="shared" si="25"/>
        <v>42514.556507110465</v>
      </c>
      <c r="Q140" s="379">
        <f t="shared" si="25"/>
        <v>41576.000020616499</v>
      </c>
      <c r="R140" s="379">
        <f t="shared" si="25"/>
        <v>40587.841504761687</v>
      </c>
      <c r="S140" s="379">
        <f t="shared" si="25"/>
        <v>39547.624451226337</v>
      </c>
      <c r="T140" s="379">
        <f t="shared" si="25"/>
        <v>-5540.3208494448108</v>
      </c>
      <c r="U140" s="379">
        <f t="shared" si="25"/>
        <v>-5651.1272664337102</v>
      </c>
      <c r="V140" s="379">
        <f t="shared" si="25"/>
        <v>-5764.1498117623823</v>
      </c>
      <c r="W140" s="379">
        <f t="shared" si="25"/>
        <v>-5879.4328079976303</v>
      </c>
      <c r="X140" s="379">
        <f t="shared" si="25"/>
        <v>-5997.0214641575831</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-138038.59286087027</v>
      </c>
      <c r="F142" s="386">
        <f t="shared" si="26"/>
        <v>-139337.47422816628</v>
      </c>
      <c r="G142" s="386">
        <f t="shared" si="26"/>
        <v>-140680.83834040887</v>
      </c>
      <c r="H142" s="386">
        <f t="shared" si="26"/>
        <v>-142070.45384558296</v>
      </c>
      <c r="I142" s="386">
        <f t="shared" si="26"/>
        <v>-143508.16651680483</v>
      </c>
      <c r="J142" s="386">
        <f t="shared" si="26"/>
        <v>-144995.90277805278</v>
      </c>
      <c r="K142" s="386">
        <f t="shared" si="26"/>
        <v>-146535.67339461594</v>
      </c>
      <c r="L142" s="386">
        <f t="shared" si="26"/>
        <v>-148129.57733602979</v>
      </c>
      <c r="M142" s="386">
        <f t="shared" si="26"/>
        <v>-149779.80581963618</v>
      </c>
      <c r="N142" s="386">
        <f t="shared" si="26"/>
        <v>-151488.64654328866</v>
      </c>
      <c r="O142" s="386">
        <f t="shared" si="26"/>
        <v>-153258.48811613093</v>
      </c>
      <c r="P142" s="386">
        <f t="shared" si="26"/>
        <v>-155091.82469679578</v>
      </c>
      <c r="Q142" s="386">
        <f t="shared" si="26"/>
        <v>-156991.26084881718</v>
      </c>
      <c r="R142" s="386">
        <f t="shared" si="26"/>
        <v>-158959.51662350996</v>
      </c>
      <c r="S142" s="386">
        <f t="shared" si="26"/>
        <v>-160999.43288105994</v>
      </c>
      <c r="T142" s="386">
        <f t="shared" si="26"/>
        <v>23619.262568685772</v>
      </c>
      <c r="U142" s="386">
        <f t="shared" si="26"/>
        <v>24091.647820059501</v>
      </c>
      <c r="V142" s="386">
        <f t="shared" si="26"/>
        <v>24573.480776460685</v>
      </c>
      <c r="W142" s="386">
        <f t="shared" si="26"/>
        <v>25064.950391989896</v>
      </c>
      <c r="X142" s="386">
        <f t="shared" si="26"/>
        <v>25566.249399829696</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-2255679.9999999995</v>
      </c>
      <c r="E143" s="379">
        <f>E132+E140</f>
        <v>11523.80506666666</v>
      </c>
      <c r="F143" s="379">
        <f t="shared" ref="F143:AR143" si="27">F132+F140</f>
        <v>10224.923699370629</v>
      </c>
      <c r="G143" s="379">
        <f t="shared" si="27"/>
        <v>8881.559587128053</v>
      </c>
      <c r="H143" s="379">
        <f t="shared" si="27"/>
        <v>7491.9440819539523</v>
      </c>
      <c r="I143" s="379">
        <f t="shared" si="27"/>
        <v>6054.2314107320708</v>
      </c>
      <c r="J143" s="379">
        <f t="shared" si="27"/>
        <v>4566.4951494841152</v>
      </c>
      <c r="K143" s="379">
        <f t="shared" si="27"/>
        <v>3026.7245329209836</v>
      </c>
      <c r="L143" s="379">
        <f t="shared" si="27"/>
        <v>1432.8205915070866</v>
      </c>
      <c r="M143" s="379">
        <f t="shared" si="27"/>
        <v>-217.40789209926879</v>
      </c>
      <c r="N143" s="379">
        <f t="shared" si="27"/>
        <v>-1926.2486157517415</v>
      </c>
      <c r="O143" s="379">
        <f t="shared" si="27"/>
        <v>-3696.0901885940038</v>
      </c>
      <c r="P143" s="379">
        <f t="shared" si="27"/>
        <v>-5529.426769258891</v>
      </c>
      <c r="Q143" s="379">
        <f t="shared" si="27"/>
        <v>-7428.862921280248</v>
      </c>
      <c r="R143" s="379">
        <f t="shared" si="27"/>
        <v>-9397.1186959729966</v>
      </c>
      <c r="S143" s="379">
        <f t="shared" si="27"/>
        <v>-11437.034953523042</v>
      </c>
      <c r="T143" s="379">
        <f t="shared" si="27"/>
        <v>23619.262568685772</v>
      </c>
      <c r="U143" s="379">
        <f t="shared" si="27"/>
        <v>24091.647820059501</v>
      </c>
      <c r="V143" s="379">
        <f t="shared" si="27"/>
        <v>24573.480776460685</v>
      </c>
      <c r="W143" s="379">
        <f t="shared" si="27"/>
        <v>25064.950391989896</v>
      </c>
      <c r="X143" s="379">
        <f t="shared" si="27"/>
        <v>25566.249399829696</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-676703.99999999988</v>
      </c>
      <c r="E144" s="379">
        <f>E142</f>
        <v>-138038.59286087027</v>
      </c>
      <c r="F144" s="379">
        <f t="shared" ref="F144:AR144" si="28">F142</f>
        <v>-139337.47422816628</v>
      </c>
      <c r="G144" s="379">
        <f t="shared" si="28"/>
        <v>-140680.83834040887</v>
      </c>
      <c r="H144" s="379">
        <f t="shared" si="28"/>
        <v>-142070.45384558296</v>
      </c>
      <c r="I144" s="379">
        <f t="shared" si="28"/>
        <v>-143508.16651680483</v>
      </c>
      <c r="J144" s="379">
        <f t="shared" si="28"/>
        <v>-144995.90277805278</v>
      </c>
      <c r="K144" s="379">
        <f t="shared" si="28"/>
        <v>-146535.67339461594</v>
      </c>
      <c r="L144" s="379">
        <f t="shared" si="28"/>
        <v>-148129.57733602979</v>
      </c>
      <c r="M144" s="379">
        <f t="shared" si="28"/>
        <v>-149779.80581963618</v>
      </c>
      <c r="N144" s="379">
        <f t="shared" si="28"/>
        <v>-151488.64654328866</v>
      </c>
      <c r="O144" s="379">
        <f t="shared" si="28"/>
        <v>-153258.48811613093</v>
      </c>
      <c r="P144" s="379">
        <f t="shared" si="28"/>
        <v>-155091.82469679578</v>
      </c>
      <c r="Q144" s="379">
        <f t="shared" si="28"/>
        <v>-156991.26084881718</v>
      </c>
      <c r="R144" s="379">
        <f t="shared" si="28"/>
        <v>-158959.51662350996</v>
      </c>
      <c r="S144" s="379">
        <f t="shared" si="28"/>
        <v>-160999.43288105994</v>
      </c>
      <c r="T144" s="379">
        <f t="shared" si="28"/>
        <v>23619.262568685772</v>
      </c>
      <c r="U144" s="379">
        <f t="shared" si="28"/>
        <v>24091.647820059501</v>
      </c>
      <c r="V144" s="379">
        <f t="shared" si="28"/>
        <v>24573.480776460685</v>
      </c>
      <c r="W144" s="379">
        <f t="shared" si="28"/>
        <v>25064.950391989896</v>
      </c>
      <c r="X144" s="379">
        <f t="shared" si="28"/>
        <v>25566.249399829696</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1380000</v>
      </c>
      <c r="F145" s="379">
        <f t="shared" si="29"/>
        <v>1380000</v>
      </c>
      <c r="G145" s="379">
        <f t="shared" si="29"/>
        <v>1380000</v>
      </c>
      <c r="H145" s="379">
        <f t="shared" si="29"/>
        <v>1380000</v>
      </c>
      <c r="I145" s="379">
        <f t="shared" si="29"/>
        <v>1380000</v>
      </c>
      <c r="J145" s="379">
        <f t="shared" si="29"/>
        <v>1380000</v>
      </c>
      <c r="K145" s="379">
        <f t="shared" si="29"/>
        <v>1380000</v>
      </c>
      <c r="L145" s="379">
        <f t="shared" si="29"/>
        <v>1380000</v>
      </c>
      <c r="M145" s="379">
        <f t="shared" si="29"/>
        <v>1380000</v>
      </c>
      <c r="N145" s="379">
        <f t="shared" si="29"/>
        <v>1380000</v>
      </c>
      <c r="O145" s="379">
        <f t="shared" si="29"/>
        <v>1380000</v>
      </c>
      <c r="P145" s="379">
        <f t="shared" si="29"/>
        <v>1380000</v>
      </c>
      <c r="Q145" s="379">
        <f t="shared" si="29"/>
        <v>1380000</v>
      </c>
      <c r="R145" s="379">
        <f t="shared" si="29"/>
        <v>1380000</v>
      </c>
      <c r="S145" s="379">
        <f t="shared" si="29"/>
        <v>1380000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2255679.9999999995</v>
      </c>
      <c r="E146" s="123">
        <f>IF(E112&lt;=$C76,D146-($C$5*E118+E132+E135),D146-(E132+E135))</f>
        <v>2104499.3599999994</v>
      </c>
      <c r="F146" s="123">
        <f t="shared" ref="F146:AR146" si="30">IF(F112&lt;=$C76,E146-($C$5*F118+F132+F135),E146-(F132+F135))</f>
        <v>1950549.8706984413</v>
      </c>
      <c r="G146" s="123">
        <f t="shared" si="30"/>
        <v>1793678.7597535013</v>
      </c>
      <c r="H146" s="123">
        <f t="shared" si="30"/>
        <v>1633725.5730971186</v>
      </c>
      <c r="I146" s="123">
        <f>IF(I112&lt;=$C76,H146-($C$5*I118+I132+I135),H146-(I132+I135))</f>
        <v>1470521.8015521998</v>
      </c>
      <c r="J146" s="123">
        <f t="shared" si="30"/>
        <v>1303890.4895441232</v>
      </c>
      <c r="K146" s="123">
        <f>IF(K112&lt;=$C76,J146-($C$5*K118+K132+K135),J146-(K132+K135))</f>
        <v>1133645.8250526246</v>
      </c>
      <c r="L146" s="123">
        <f t="shared" si="30"/>
        <v>959592.70990951196</v>
      </c>
      <c r="M146" s="123">
        <f t="shared" si="30"/>
        <v>781526.30950509943</v>
      </c>
      <c r="N146" s="123">
        <f t="shared" si="30"/>
        <v>599231.58092166623</v>
      </c>
      <c r="O146" s="123">
        <f t="shared" si="30"/>
        <v>412482.77846554387</v>
      </c>
      <c r="P146" s="123">
        <f t="shared" si="30"/>
        <v>221042.93552051127</v>
      </c>
      <c r="Q146" s="123">
        <f t="shared" si="30"/>
        <v>24663.321593931469</v>
      </c>
      <c r="R146" s="123">
        <f t="shared" si="30"/>
        <v>-176917.12662662103</v>
      </c>
      <c r="S146" s="123">
        <f t="shared" si="30"/>
        <v>-383972.40144472802</v>
      </c>
      <c r="T146" s="123">
        <f t="shared" si="30"/>
        <v>-413131.9848628586</v>
      </c>
      <c r="U146" s="123">
        <f t="shared" si="30"/>
        <v>-442874.75994935184</v>
      </c>
      <c r="V146" s="123">
        <f t="shared" si="30"/>
        <v>-473212.39053757489</v>
      </c>
      <c r="W146" s="123">
        <f t="shared" si="30"/>
        <v>-504156.77373756241</v>
      </c>
      <c r="X146" s="123">
        <f t="shared" si="30"/>
        <v>-535720.04460154974</v>
      </c>
      <c r="Y146" s="123">
        <f t="shared" si="30"/>
        <v>-535720.04460154974</v>
      </c>
      <c r="Z146" s="123">
        <f t="shared" si="30"/>
        <v>-535720.04460154974</v>
      </c>
      <c r="AA146" s="123">
        <f>IF(AA112&lt;=$C76,Z146-($C$5*AA118+AA132+AA135),Z146-(AA132+AA135))</f>
        <v>-535720.04460154974</v>
      </c>
      <c r="AB146" s="123">
        <f t="shared" si="30"/>
        <v>-535720.04460154974</v>
      </c>
      <c r="AC146" s="123">
        <f t="shared" si="30"/>
        <v>-535720.04460154974</v>
      </c>
      <c r="AD146" s="123">
        <f t="shared" si="30"/>
        <v>-535720.04460154974</v>
      </c>
      <c r="AE146" s="123">
        <f>IF(AE112&lt;=$C76,AD146-($C$5*AE118+AE132+AE135),AD146-(AE132+AE135))</f>
        <v>-535720.04460154974</v>
      </c>
      <c r="AF146" s="123">
        <f t="shared" si="30"/>
        <v>-535720.04460154974</v>
      </c>
      <c r="AG146" s="123">
        <f>IF(AG112&lt;=$C76,AF146-($C$5*AG118+AG132+AG135),AF146-(AG132+AG135))</f>
        <v>-535720.04460154974</v>
      </c>
      <c r="AH146" s="123">
        <f t="shared" si="30"/>
        <v>-535720.04460154974</v>
      </c>
      <c r="AI146" s="123">
        <f t="shared" si="30"/>
        <v>-535720.04460154974</v>
      </c>
      <c r="AJ146" s="123">
        <f t="shared" si="30"/>
        <v>-535720.04460154974</v>
      </c>
      <c r="AK146" s="123">
        <f t="shared" si="30"/>
        <v>-535720.04460154974</v>
      </c>
      <c r="AL146" s="123">
        <f t="shared" si="30"/>
        <v>-535720.04460154974</v>
      </c>
      <c r="AM146" s="123">
        <f t="shared" si="30"/>
        <v>-535720.04460154974</v>
      </c>
      <c r="AN146" s="123">
        <f t="shared" si="30"/>
        <v>-535720.04460154974</v>
      </c>
      <c r="AO146" s="123">
        <f t="shared" si="30"/>
        <v>-535720.04460154974</v>
      </c>
      <c r="AP146" s="123">
        <f t="shared" si="30"/>
        <v>-535720.04460154974</v>
      </c>
      <c r="AQ146" s="123">
        <f t="shared" si="30"/>
        <v>-535720.04460154974</v>
      </c>
      <c r="AR146" s="387">
        <f t="shared" si="30"/>
        <v>-535720.04460154974</v>
      </c>
    </row>
    <row r="147" spans="1:44" ht="13" thickBot="1" x14ac:dyDescent="0.3">
      <c r="B147" s="124" t="s">
        <v>473</v>
      </c>
      <c r="C147" s="125"/>
      <c r="D147" s="125"/>
      <c r="E147" s="126">
        <f t="shared" ref="E147:AR147" si="31">IF(E112&gt;$C$74,"",(-$C$94*(E139+$C$5*E118)+E132+$C$5*E118)/-E137)</f>
        <v>1.511273075309866</v>
      </c>
      <c r="F147" s="126">
        <f t="shared" si="31"/>
        <v>1.5025885303621089</v>
      </c>
      <c r="G147" s="126">
        <f t="shared" si="31"/>
        <v>1.4936065661060034</v>
      </c>
      <c r="H147" s="126">
        <f t="shared" si="31"/>
        <v>1.4843153570559362</v>
      </c>
      <c r="I147" s="126">
        <f t="shared" si="31"/>
        <v>1.4747025620543577</v>
      </c>
      <c r="J147" s="126">
        <f t="shared" si="31"/>
        <v>1.4647553006981393</v>
      </c>
      <c r="K147" s="126">
        <f t="shared" si="31"/>
        <v>1.4544601286635941</v>
      </c>
      <c r="L147" s="126">
        <f t="shared" si="31"/>
        <v>1.443803011878223</v>
      </c>
      <c r="M147" s="126">
        <f t="shared" si="31"/>
        <v>1.4327692994847783</v>
      </c>
      <c r="N147" s="126">
        <f t="shared" si="31"/>
        <v>1.4213436955406613</v>
      </c>
      <c r="O147" s="126">
        <f t="shared" si="31"/>
        <v>1.4095102293929751</v>
      </c>
      <c r="P147" s="126">
        <f t="shared" si="31"/>
        <v>1.3972522246667261</v>
      </c>
      <c r="Q147" s="126">
        <f t="shared" si="31"/>
        <v>1.3845522668007009</v>
      </c>
      <c r="R147" s="126">
        <f t="shared" si="31"/>
        <v>1.3713921690624555</v>
      </c>
      <c r="S147" s="126">
        <f t="shared" si="31"/>
        <v>1.3577529369705876</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-1340498.7002148319</v>
      </c>
      <c r="D150" s="57" t="s">
        <v>476</v>
      </c>
    </row>
    <row r="151" spans="1:44" x14ac:dyDescent="0.25">
      <c r="B151" s="26" t="s">
        <v>477</v>
      </c>
      <c r="C151" s="153">
        <f>(1-$C$94)*NPV($C$91,E145:AR145)</f>
        <v>10510303.245822959</v>
      </c>
      <c r="D151" s="58" t="str">
        <f>$C$7</f>
        <v>kWh</v>
      </c>
      <c r="F151" s="59"/>
    </row>
    <row r="152" spans="1:44" x14ac:dyDescent="0.25">
      <c r="B152" s="26" t="s">
        <v>478</v>
      </c>
      <c r="C152" s="153">
        <f>$C$41*1000000</f>
        <v>2255679.9999999995</v>
      </c>
      <c r="D152" s="57" t="s">
        <v>424</v>
      </c>
      <c r="F152" s="60"/>
    </row>
    <row r="153" spans="1:44" x14ac:dyDescent="0.25">
      <c r="B153" s="26" t="s">
        <v>479</v>
      </c>
      <c r="C153" s="154">
        <f>AVERAGE(E147:AR147)</f>
        <v>1.4402718236031411</v>
      </c>
      <c r="D153" s="57"/>
      <c r="F153" s="60"/>
    </row>
    <row r="154" spans="1:44" x14ac:dyDescent="0.25">
      <c r="B154" s="26" t="s">
        <v>480</v>
      </c>
      <c r="C154" s="155" t="str">
        <f>CONCATENATE(ROUND(((1-$C$94)*$C$90*$C$92+$C$93*$C$91)*100,1),"% / ",ROUND((((1+(1-$C$94)*$C$90*$C$92+$C$93*$C$91)/(1+$C$89))-1)*100,1),"%")</f>
        <v>4.6% / 2.6%</v>
      </c>
      <c r="D154" s="57"/>
      <c r="F154" s="59"/>
      <c r="G154" s="61"/>
    </row>
    <row r="155" spans="1:44" x14ac:dyDescent="0.25">
      <c r="B155" s="26" t="s">
        <v>481</v>
      </c>
      <c r="C155" s="156">
        <f>IFERROR(IRR(D143:AR143),"n.v.t.")</f>
        <v>-0.15309019065341689</v>
      </c>
      <c r="D155" s="57"/>
      <c r="F155" s="60"/>
      <c r="G155" s="61"/>
    </row>
    <row r="156" spans="1:44" x14ac:dyDescent="0.25">
      <c r="B156" s="26" t="s">
        <v>482</v>
      </c>
      <c r="C156" s="156" t="str">
        <f>IFERROR(IRR(D144:AR144),"n.v.t.")</f>
        <v>n.v.t.</v>
      </c>
      <c r="D156" s="57"/>
      <c r="G156" s="61"/>
    </row>
    <row r="157" spans="1:44" x14ac:dyDescent="0.25">
      <c r="B157" s="38" t="s">
        <v>483</v>
      </c>
      <c r="C157" s="153">
        <f>$C$92*C152-C97</f>
        <v>1578975.9999999995</v>
      </c>
      <c r="D157" s="57" t="s">
        <v>424</v>
      </c>
      <c r="F157" s="35"/>
    </row>
    <row r="158" spans="1:44" x14ac:dyDescent="0.25">
      <c r="B158" s="38" t="s">
        <v>484</v>
      </c>
      <c r="C158" s="153">
        <f>$C$93*C152-C98</f>
        <v>676703.99999999988</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1380</v>
      </c>
      <c r="D160" s="57" t="s">
        <v>340</v>
      </c>
      <c r="F160" s="35"/>
    </row>
    <row r="161" spans="2:44" x14ac:dyDescent="0.25">
      <c r="B161" s="43" t="s">
        <v>487</v>
      </c>
      <c r="C161" s="461" t="str">
        <f>CONCATENATE( "tussen ", INDEX(D112:X112, MATCH(0,D146:X146, -1)), " en ",  1 + INDEX(D112:X112, MATCH(0,D146:X146, -1)), " jaar")</f>
        <v>tussen 13 en 14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23" priority="3" operator="containsText" text="Pas op">
      <formula>NOT(ISERROR(SEARCH("Pas op",G1)))</formula>
    </cfRule>
  </conditionalFormatting>
  <conditionalFormatting sqref="G105">
    <cfRule type="containsText" dxfId="22" priority="1" operator="containsText" text="Pas op">
      <formula>NOT(ISERROR(SEARCH("Pas op",G105)))</formula>
    </cfRule>
  </conditionalFormatting>
  <conditionalFormatting sqref="G184:G1048576">
    <cfRule type="containsText" dxfId="21" priority="2" operator="containsText" text="Pas op">
      <formula>NOT(ISERROR(SEARCH("Pas op",G184)))</formula>
    </cfRule>
  </conditionalFormatting>
  <dataValidations count="3">
    <dataValidation type="list" allowBlank="1" showInputMessage="1" showErrorMessage="1" sqref="C14" xr:uid="{89880B41-24A9-4A94-BBA9-AC88DBCE652A}">
      <formula1>"Nee,Ja,Geen warmte"</formula1>
    </dataValidation>
    <dataValidation type="list" allowBlank="1" showInputMessage="1" showErrorMessage="1" sqref="C7" xr:uid="{D917589A-F712-46F6-8648-8B60C0B3D680}">
      <formula1>"t CO2,kWh"</formula1>
    </dataValidation>
    <dataValidation type="list" allowBlank="1" showInputMessage="1" showErrorMessage="1" sqref="C37361 C102897 C168433 C233969 C299505 C365041 C430577 C496113 C561649 C627185 C692721 C758257 C823793 C889329 C954865" xr:uid="{321A1675-B5AD-48EC-A0E7-E28B57E1D44C}">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7E57B9E2-EEA2-4FCE-AE49-0EFA1A6B44FA}">
          <x14:formula1>
            <xm:f>Correcties!$A$8:$A$8</xm:f>
          </x14:formula1>
          <xm:sqref>C15</xm:sqref>
        </x14:dataValidation>
        <x14:dataValidation type="list" allowBlank="1" showInputMessage="1" showErrorMessage="1" xr:uid="{0BD9C501-C527-4BC4-BD99-ABDBC2D9B56D}">
          <x14:formula1>
            <xm:f>Correcties!$A$27:$A$38</xm:f>
          </x14:formula1>
          <xm:sqref>C13</xm:sqref>
        </x14:dataValidation>
        <x14:dataValidation type="list" allowBlank="1" showInputMessage="1" showErrorMessage="1" xr:uid="{5EDE7D26-1C1C-4800-8066-740DDD2CB1F3}">
          <x14:formula1>
            <xm:f>Colofon!$B$34:$B$39</xm:f>
          </x14:formula1>
          <xm:sqref>C9</xm:sqref>
        </x14:dataValidation>
        <x14:dataValidation type="list" allowBlank="1" showInputMessage="1" showErrorMessage="1" xr:uid="{4EAEF761-CA82-4609-8C99-BFF16C3F4D27}">
          <x14:formula1>
            <xm:f>Correcties!$A$10:$A$10</xm:f>
          </x14:formula1>
          <xm:sqref>C16</xm:sqref>
        </x14:dataValidation>
        <x14:dataValidation type="list" allowBlank="1" showInputMessage="1" showErrorMessage="1" xr:uid="{7AFF98C2-021C-4D47-96DC-EEC85F7B6756}">
          <x14:formula1>
            <xm:f>Correcties!$A$4:$A$10</xm:f>
          </x14:formula1>
          <xm:sqref>C12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6C511-EB9E-4423-8FE2-A50E5117B114}">
  <sheetPr codeName="Sheet104">
    <tabColor theme="5" tint="0.39997558519241921"/>
    <pageSetUpPr fitToPage="1"/>
  </sheetPr>
  <dimension ref="A1:AR198"/>
  <sheetViews>
    <sheetView showGridLines="0" topLeftCell="A119"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519</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5.7000000000000002E-2</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77.7676120768527</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IFERROR(INDEX(Correcties!$A$1:$I$301,MATCH('15'!C12,Correcties!$A$1:$A$301,0),5),"")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4500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4500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3480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1580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7.1597699999999991</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14.9</v>
      </c>
      <c r="D43" s="99" t="str">
        <f>CONCATENATE("Euro/",$C$8,"/jaar")</f>
        <v>Euro/kW/jaar</v>
      </c>
      <c r="E43" s="447" t="s">
        <v>357</v>
      </c>
      <c r="F43" s="447"/>
      <c r="G43" s="447"/>
      <c r="H43" s="447"/>
      <c r="I43" s="447"/>
      <c r="J43" s="447"/>
      <c r="K43" s="447"/>
      <c r="L43" s="447"/>
      <c r="M43" s="448"/>
    </row>
    <row r="44" spans="2:13" x14ac:dyDescent="0.25">
      <c r="B44" s="96" t="s">
        <v>359</v>
      </c>
      <c r="C44" s="348">
        <f>(C42*C21+C43*SUM(C26,C28))/1000</f>
        <v>67.05</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1.26E-2</v>
      </c>
      <c r="D48" s="99" t="str">
        <f>CONCATENATE("Euro/",$C$7)</f>
        <v>Euro/kWh</v>
      </c>
      <c r="E48" s="447"/>
      <c r="F48" s="447"/>
      <c r="G48" s="447"/>
      <c r="H48" s="447"/>
      <c r="I48" s="447"/>
      <c r="J48" s="447"/>
      <c r="K48" s="447"/>
      <c r="L48" s="447"/>
      <c r="M48" s="448"/>
    </row>
    <row r="49" spans="2:13" x14ac:dyDescent="0.25">
      <c r="B49" s="97" t="s">
        <v>366</v>
      </c>
      <c r="C49" s="142">
        <f>SUM(C45:C48)</f>
        <v>1.26E-2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3480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234900000</v>
      </c>
      <c r="D84" s="98" t="str">
        <f>C7</f>
        <v>kWh</v>
      </c>
      <c r="E84" s="447"/>
      <c r="F84" s="447"/>
      <c r="G84" s="447"/>
      <c r="H84" s="447"/>
      <c r="I84" s="447"/>
      <c r="J84" s="447"/>
      <c r="K84" s="447"/>
      <c r="L84" s="447"/>
      <c r="M84" s="448"/>
    </row>
    <row r="85" spans="2:13" x14ac:dyDescent="0.25">
      <c r="B85" s="113" t="s">
        <v>413</v>
      </c>
      <c r="C85" s="145">
        <f>IF(C77=0,SUM(E118:INDEX(E118:AR118,1,C73)),SUM(E118:INDEX(E118:AR118,1,C77)))</f>
        <v>313200000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0.04</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-7159769.9999999991</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15660000</v>
      </c>
      <c r="F115" s="379">
        <f t="shared" si="4"/>
        <v>15660000</v>
      </c>
      <c r="G115" s="379">
        <f t="shared" si="4"/>
        <v>15660000</v>
      </c>
      <c r="H115" s="379">
        <f t="shared" si="4"/>
        <v>15660000</v>
      </c>
      <c r="I115" s="379">
        <f t="shared" si="4"/>
        <v>15660000</v>
      </c>
      <c r="J115" s="379">
        <f t="shared" si="4"/>
        <v>15660000</v>
      </c>
      <c r="K115" s="379">
        <f t="shared" si="4"/>
        <v>15660000</v>
      </c>
      <c r="L115" s="379">
        <f t="shared" si="4"/>
        <v>15660000</v>
      </c>
      <c r="M115" s="379">
        <f t="shared" si="4"/>
        <v>15660000</v>
      </c>
      <c r="N115" s="379">
        <f t="shared" si="4"/>
        <v>15660000</v>
      </c>
      <c r="O115" s="379">
        <f t="shared" si="4"/>
        <v>15660000</v>
      </c>
      <c r="P115" s="379">
        <f t="shared" si="4"/>
        <v>15660000</v>
      </c>
      <c r="Q115" s="379">
        <f t="shared" si="4"/>
        <v>15660000</v>
      </c>
      <c r="R115" s="379">
        <f t="shared" si="4"/>
        <v>15660000</v>
      </c>
      <c r="S115" s="379">
        <f t="shared" si="4"/>
        <v>15660000</v>
      </c>
      <c r="T115" s="379">
        <f t="shared" si="4"/>
        <v>15660000</v>
      </c>
      <c r="U115" s="379">
        <f t="shared" si="4"/>
        <v>15660000</v>
      </c>
      <c r="V115" s="379">
        <f t="shared" si="4"/>
        <v>15660000</v>
      </c>
      <c r="W115" s="379">
        <f t="shared" si="4"/>
        <v>15660000</v>
      </c>
      <c r="X115" s="379">
        <f t="shared" si="4"/>
        <v>15660000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15660000</v>
      </c>
      <c r="F118" s="150">
        <f t="shared" ref="F118:AR118" si="7">SUM(F115:F117)</f>
        <v>15660000</v>
      </c>
      <c r="G118" s="150">
        <f t="shared" si="7"/>
        <v>15660000</v>
      </c>
      <c r="H118" s="150">
        <f t="shared" si="7"/>
        <v>15660000</v>
      </c>
      <c r="I118" s="150">
        <f t="shared" si="7"/>
        <v>15660000</v>
      </c>
      <c r="J118" s="150">
        <f t="shared" si="7"/>
        <v>15660000</v>
      </c>
      <c r="K118" s="150">
        <f t="shared" si="7"/>
        <v>15660000</v>
      </c>
      <c r="L118" s="150">
        <f t="shared" si="7"/>
        <v>15660000</v>
      </c>
      <c r="M118" s="150">
        <f t="shared" si="7"/>
        <v>15660000</v>
      </c>
      <c r="N118" s="150">
        <f t="shared" si="7"/>
        <v>15660000</v>
      </c>
      <c r="O118" s="150">
        <f t="shared" si="7"/>
        <v>15660000</v>
      </c>
      <c r="P118" s="150">
        <f t="shared" si="7"/>
        <v>15660000</v>
      </c>
      <c r="Q118" s="150">
        <f t="shared" si="7"/>
        <v>15660000</v>
      </c>
      <c r="R118" s="150">
        <f t="shared" si="7"/>
        <v>15660000</v>
      </c>
      <c r="S118" s="150">
        <f t="shared" si="7"/>
        <v>15660000</v>
      </c>
      <c r="T118" s="150">
        <f t="shared" si="7"/>
        <v>15660000</v>
      </c>
      <c r="U118" s="150">
        <f t="shared" si="7"/>
        <v>15660000</v>
      </c>
      <c r="V118" s="150">
        <f t="shared" si="7"/>
        <v>15660000</v>
      </c>
      <c r="W118" s="150">
        <f t="shared" si="7"/>
        <v>15660000</v>
      </c>
      <c r="X118" s="150">
        <f t="shared" si="7"/>
        <v>15660000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-264366</v>
      </c>
      <c r="F120" s="379">
        <f t="shared" ref="F120:AR120" si="8">IF(F112&gt;$C$73,0,-F109*(($C$42*$C$21+$C$43*SUM($C$26,$C$28))+F118*$C$49))+IF($C$101=F112,$D$101*F109,0)+IF($C$102=F112,$D$102*F109,0)+IF($C$103=F112,$D$103*F109,0)</f>
        <v>-269653.32</v>
      </c>
      <c r="G120" s="379">
        <f t="shared" si="8"/>
        <v>-275046.38640000002</v>
      </c>
      <c r="H120" s="379">
        <f t="shared" si="8"/>
        <v>-280547.314128</v>
      </c>
      <c r="I120" s="379">
        <f t="shared" si="8"/>
        <v>-286158.26041056</v>
      </c>
      <c r="J120" s="379">
        <f t="shared" si="8"/>
        <v>-291881.42561877123</v>
      </c>
      <c r="K120" s="379">
        <f t="shared" si="8"/>
        <v>-297719.05413114664</v>
      </c>
      <c r="L120" s="379">
        <f t="shared" si="8"/>
        <v>-303673.4352137695</v>
      </c>
      <c r="M120" s="379">
        <f t="shared" si="8"/>
        <v>-309746.90391804493</v>
      </c>
      <c r="N120" s="379">
        <f t="shared" si="8"/>
        <v>-315941.8419964058</v>
      </c>
      <c r="O120" s="379">
        <f t="shared" si="8"/>
        <v>-322260.67883633397</v>
      </c>
      <c r="P120" s="379">
        <f t="shared" si="8"/>
        <v>-328705.89241306059</v>
      </c>
      <c r="Q120" s="379">
        <f t="shared" si="8"/>
        <v>-335280.01026132185</v>
      </c>
      <c r="R120" s="379">
        <f t="shared" si="8"/>
        <v>-341985.61046654824</v>
      </c>
      <c r="S120" s="379">
        <f t="shared" si="8"/>
        <v>-348825.32267587929</v>
      </c>
      <c r="T120" s="379">
        <f t="shared" si="8"/>
        <v>-355801.82912939676</v>
      </c>
      <c r="U120" s="379">
        <f t="shared" si="8"/>
        <v>-362917.86571198475</v>
      </c>
      <c r="V120" s="379">
        <f t="shared" si="8"/>
        <v>-370176.22302622447</v>
      </c>
      <c r="W120" s="379">
        <f t="shared" si="8"/>
        <v>-377579.74748674891</v>
      </c>
      <c r="X120" s="379">
        <f t="shared" si="8"/>
        <v>-385131.34243648389</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921034.2303854113</v>
      </c>
      <c r="U127" s="379">
        <f t="shared" si="15"/>
        <v>939454.91499311966</v>
      </c>
      <c r="V127" s="379">
        <f t="shared" si="15"/>
        <v>958244.01329298213</v>
      </c>
      <c r="W127" s="379">
        <f t="shared" si="15"/>
        <v>977408.89355884166</v>
      </c>
      <c r="X127" s="379">
        <f t="shared" si="15"/>
        <v>996957.07143001852</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921034.2303854113</v>
      </c>
      <c r="U130" s="379">
        <f t="shared" si="17"/>
        <v>939454.91499311966</v>
      </c>
      <c r="V130" s="379">
        <f t="shared" si="17"/>
        <v>958244.01329298213</v>
      </c>
      <c r="W130" s="379">
        <f t="shared" si="17"/>
        <v>977408.89355884166</v>
      </c>
      <c r="X130" s="379">
        <f t="shared" si="17"/>
        <v>996957.07143001852</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-264366</v>
      </c>
      <c r="F131" s="379">
        <f t="shared" si="18"/>
        <v>-269653.32</v>
      </c>
      <c r="G131" s="379">
        <f t="shared" si="18"/>
        <v>-275046.38640000002</v>
      </c>
      <c r="H131" s="379">
        <f t="shared" si="18"/>
        <v>-280547.314128</v>
      </c>
      <c r="I131" s="379">
        <f t="shared" si="18"/>
        <v>-286158.26041056</v>
      </c>
      <c r="J131" s="379">
        <f t="shared" si="18"/>
        <v>-291881.42561877123</v>
      </c>
      <c r="K131" s="379">
        <f t="shared" si="18"/>
        <v>-297719.05413114664</v>
      </c>
      <c r="L131" s="379">
        <f t="shared" si="18"/>
        <v>-303673.4352137695</v>
      </c>
      <c r="M131" s="379">
        <f t="shared" si="18"/>
        <v>-309746.90391804493</v>
      </c>
      <c r="N131" s="379">
        <f t="shared" si="18"/>
        <v>-315941.8419964058</v>
      </c>
      <c r="O131" s="379">
        <f t="shared" si="18"/>
        <v>-322260.67883633397</v>
      </c>
      <c r="P131" s="379">
        <f t="shared" si="18"/>
        <v>-328705.89241306059</v>
      </c>
      <c r="Q131" s="379">
        <f t="shared" si="18"/>
        <v>-335280.01026132185</v>
      </c>
      <c r="R131" s="379">
        <f t="shared" si="18"/>
        <v>-341985.61046654824</v>
      </c>
      <c r="S131" s="379">
        <f t="shared" si="18"/>
        <v>-348825.32267587929</v>
      </c>
      <c r="T131" s="379">
        <f t="shared" si="18"/>
        <v>-355801.82912939676</v>
      </c>
      <c r="U131" s="379">
        <f t="shared" si="18"/>
        <v>-362917.86571198475</v>
      </c>
      <c r="V131" s="379">
        <f t="shared" si="18"/>
        <v>-370176.22302622447</v>
      </c>
      <c r="W131" s="379">
        <f t="shared" si="18"/>
        <v>-377579.74748674891</v>
      </c>
      <c r="X131" s="379">
        <f t="shared" si="18"/>
        <v>-385131.34243648389</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-264366</v>
      </c>
      <c r="F132" s="386">
        <f t="shared" ref="F132:AR132" si="19">SUM(F130:F131)</f>
        <v>-269653.32</v>
      </c>
      <c r="G132" s="386">
        <f t="shared" si="19"/>
        <v>-275046.38640000002</v>
      </c>
      <c r="H132" s="386">
        <f t="shared" si="19"/>
        <v>-280547.314128</v>
      </c>
      <c r="I132" s="386">
        <f t="shared" si="19"/>
        <v>-286158.26041056</v>
      </c>
      <c r="J132" s="386">
        <f t="shared" si="19"/>
        <v>-291881.42561877123</v>
      </c>
      <c r="K132" s="386">
        <f t="shared" si="19"/>
        <v>-297719.05413114664</v>
      </c>
      <c r="L132" s="386">
        <f t="shared" si="19"/>
        <v>-303673.4352137695</v>
      </c>
      <c r="M132" s="386">
        <f t="shared" si="19"/>
        <v>-309746.90391804493</v>
      </c>
      <c r="N132" s="386">
        <f t="shared" si="19"/>
        <v>-315941.8419964058</v>
      </c>
      <c r="O132" s="386">
        <f t="shared" si="19"/>
        <v>-322260.67883633397</v>
      </c>
      <c r="P132" s="386">
        <f t="shared" si="19"/>
        <v>-328705.89241306059</v>
      </c>
      <c r="Q132" s="386">
        <f t="shared" si="19"/>
        <v>-335280.01026132185</v>
      </c>
      <c r="R132" s="386">
        <f t="shared" si="19"/>
        <v>-341985.61046654824</v>
      </c>
      <c r="S132" s="386">
        <f t="shared" si="19"/>
        <v>-348825.32267587929</v>
      </c>
      <c r="T132" s="386">
        <f t="shared" si="19"/>
        <v>565232.40125601459</v>
      </c>
      <c r="U132" s="386">
        <f t="shared" si="19"/>
        <v>576537.04928113497</v>
      </c>
      <c r="V132" s="386">
        <f t="shared" si="19"/>
        <v>588067.7902667576</v>
      </c>
      <c r="W132" s="386">
        <f t="shared" si="19"/>
        <v>599829.1460720927</v>
      </c>
      <c r="X132" s="386">
        <f t="shared" si="19"/>
        <v>611825.72899353458</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-477317.99999999994</v>
      </c>
      <c r="F134" s="379">
        <f t="shared" si="20"/>
        <v>-477317.99999999994</v>
      </c>
      <c r="G134" s="379">
        <f t="shared" si="20"/>
        <v>-477317.99999999994</v>
      </c>
      <c r="H134" s="379">
        <f t="shared" si="20"/>
        <v>-477317.99999999994</v>
      </c>
      <c r="I134" s="379">
        <f t="shared" si="20"/>
        <v>-477317.99999999994</v>
      </c>
      <c r="J134" s="379">
        <f t="shared" si="20"/>
        <v>-477317.99999999994</v>
      </c>
      <c r="K134" s="379">
        <f t="shared" si="20"/>
        <v>-477317.99999999994</v>
      </c>
      <c r="L134" s="379">
        <f t="shared" si="20"/>
        <v>-477317.99999999994</v>
      </c>
      <c r="M134" s="379">
        <f t="shared" si="20"/>
        <v>-477317.99999999994</v>
      </c>
      <c r="N134" s="379">
        <f t="shared" si="20"/>
        <v>-477317.99999999994</v>
      </c>
      <c r="O134" s="379">
        <f t="shared" si="20"/>
        <v>-477317.99999999994</v>
      </c>
      <c r="P134" s="379">
        <f t="shared" si="20"/>
        <v>-477317.99999999994</v>
      </c>
      <c r="Q134" s="379">
        <f t="shared" si="20"/>
        <v>-477317.99999999994</v>
      </c>
      <c r="R134" s="379">
        <f t="shared" si="20"/>
        <v>-477317.99999999994</v>
      </c>
      <c r="S134" s="379">
        <f t="shared" si="20"/>
        <v>-477317.99999999994</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-200473.55999999997</v>
      </c>
      <c r="F135" s="379">
        <f t="shared" si="21"/>
        <v>-190461.68981831361</v>
      </c>
      <c r="G135" s="379">
        <f t="shared" si="21"/>
        <v>-180049.34482935988</v>
      </c>
      <c r="H135" s="379">
        <f t="shared" si="21"/>
        <v>-169220.50604084795</v>
      </c>
      <c r="I135" s="379">
        <f t="shared" si="21"/>
        <v>-157958.51370079556</v>
      </c>
      <c r="J135" s="379">
        <f t="shared" si="21"/>
        <v>-146246.04166714105</v>
      </c>
      <c r="K135" s="379">
        <f t="shared" si="21"/>
        <v>-134065.07075214037</v>
      </c>
      <c r="L135" s="379">
        <f t="shared" si="21"/>
        <v>-121396.86100053968</v>
      </c>
      <c r="M135" s="379">
        <f t="shared" si="21"/>
        <v>-108221.92285887497</v>
      </c>
      <c r="N135" s="379">
        <f t="shared" si="21"/>
        <v>-94519.987191543638</v>
      </c>
      <c r="O135" s="379">
        <f t="shared" si="21"/>
        <v>-80269.97409751908</v>
      </c>
      <c r="P135" s="379">
        <f t="shared" si="21"/>
        <v>-65449.960479733534</v>
      </c>
      <c r="Q135" s="379">
        <f t="shared" si="21"/>
        <v>-50037.146317236562</v>
      </c>
      <c r="R135" s="379">
        <f t="shared" si="21"/>
        <v>-34007.819588239712</v>
      </c>
      <c r="S135" s="379">
        <f t="shared" si="21"/>
        <v>-17337.319790082995</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-250296.75454215793</v>
      </c>
      <c r="F136" s="379">
        <f t="shared" si="22"/>
        <v>-260308.6247238442</v>
      </c>
      <c r="G136" s="379">
        <f t="shared" si="22"/>
        <v>-270720.9697127979</v>
      </c>
      <c r="H136" s="379">
        <f t="shared" si="22"/>
        <v>-281549.80850130989</v>
      </c>
      <c r="I136" s="379">
        <f t="shared" si="22"/>
        <v>-292811.80084136227</v>
      </c>
      <c r="J136" s="379">
        <f t="shared" si="22"/>
        <v>-304524.27287501673</v>
      </c>
      <c r="K136" s="379">
        <f t="shared" si="22"/>
        <v>-316705.24379001738</v>
      </c>
      <c r="L136" s="379">
        <f t="shared" si="22"/>
        <v>-329373.45354161813</v>
      </c>
      <c r="M136" s="379">
        <f t="shared" si="22"/>
        <v>-342548.39168328285</v>
      </c>
      <c r="N136" s="379">
        <f t="shared" si="22"/>
        <v>-356250.32735061413</v>
      </c>
      <c r="O136" s="379">
        <f t="shared" si="22"/>
        <v>-370500.34044463874</v>
      </c>
      <c r="P136" s="379">
        <f t="shared" si="22"/>
        <v>-385320.35406242422</v>
      </c>
      <c r="Q136" s="379">
        <f t="shared" si="22"/>
        <v>-400733.16822492122</v>
      </c>
      <c r="R136" s="379">
        <f t="shared" si="22"/>
        <v>-416762.4949539181</v>
      </c>
      <c r="S136" s="379">
        <f t="shared" si="22"/>
        <v>-433432.99475207488</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-450770.31454215792</v>
      </c>
      <c r="F137" s="386">
        <f t="shared" ref="F137:AR137" si="23">SUM(F135,F136)</f>
        <v>-450770.31454215781</v>
      </c>
      <c r="G137" s="386">
        <f t="shared" si="23"/>
        <v>-450770.31454215781</v>
      </c>
      <c r="H137" s="386">
        <f t="shared" si="23"/>
        <v>-450770.31454215781</v>
      </c>
      <c r="I137" s="386">
        <f t="shared" si="23"/>
        <v>-450770.31454215781</v>
      </c>
      <c r="J137" s="386">
        <f t="shared" si="23"/>
        <v>-450770.31454215781</v>
      </c>
      <c r="K137" s="386">
        <f t="shared" si="23"/>
        <v>-450770.31454215775</v>
      </c>
      <c r="L137" s="386">
        <f t="shared" si="23"/>
        <v>-450770.31454215781</v>
      </c>
      <c r="M137" s="386">
        <f t="shared" si="23"/>
        <v>-450770.31454215781</v>
      </c>
      <c r="N137" s="386">
        <f t="shared" si="23"/>
        <v>-450770.31454215775</v>
      </c>
      <c r="O137" s="386">
        <f t="shared" si="23"/>
        <v>-450770.31454215781</v>
      </c>
      <c r="P137" s="386">
        <f t="shared" si="23"/>
        <v>-450770.31454215775</v>
      </c>
      <c r="Q137" s="386">
        <f t="shared" si="23"/>
        <v>-450770.31454215781</v>
      </c>
      <c r="R137" s="386">
        <f t="shared" si="23"/>
        <v>-450770.31454215781</v>
      </c>
      <c r="S137" s="386">
        <f t="shared" si="23"/>
        <v>-450770.31454215787</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-942157.55999999994</v>
      </c>
      <c r="F139" s="379">
        <f t="shared" ref="F139:AR139" si="24">F132+F134+F135</f>
        <v>-937433.00981831353</v>
      </c>
      <c r="G139" s="379">
        <f t="shared" si="24"/>
        <v>-932413.73122935987</v>
      </c>
      <c r="H139" s="379">
        <f t="shared" si="24"/>
        <v>-927085.82016884792</v>
      </c>
      <c r="I139" s="379">
        <f t="shared" si="24"/>
        <v>-921434.77411135554</v>
      </c>
      <c r="J139" s="379">
        <f t="shared" si="24"/>
        <v>-915445.46728591225</v>
      </c>
      <c r="K139" s="379">
        <f t="shared" si="24"/>
        <v>-909102.12488328689</v>
      </c>
      <c r="L139" s="379">
        <f t="shared" si="24"/>
        <v>-902388.29621430906</v>
      </c>
      <c r="M139" s="379">
        <f t="shared" si="24"/>
        <v>-895286.82677691989</v>
      </c>
      <c r="N139" s="379">
        <f t="shared" si="24"/>
        <v>-887779.82918794942</v>
      </c>
      <c r="O139" s="379">
        <f t="shared" si="24"/>
        <v>-879848.65293385298</v>
      </c>
      <c r="P139" s="379">
        <f t="shared" si="24"/>
        <v>-871473.85289279406</v>
      </c>
      <c r="Q139" s="379">
        <f t="shared" si="24"/>
        <v>-862635.15657855838</v>
      </c>
      <c r="R139" s="379">
        <f t="shared" si="24"/>
        <v>-853311.43005478801</v>
      </c>
      <c r="S139" s="379">
        <f t="shared" si="24"/>
        <v>-843480.64246596221</v>
      </c>
      <c r="T139" s="379">
        <f t="shared" si="24"/>
        <v>565232.40125601459</v>
      </c>
      <c r="U139" s="379">
        <f t="shared" si="24"/>
        <v>576537.04928113497</v>
      </c>
      <c r="V139" s="379">
        <f t="shared" si="24"/>
        <v>588067.7902667576</v>
      </c>
      <c r="W139" s="379">
        <f t="shared" si="24"/>
        <v>599829.1460720927</v>
      </c>
      <c r="X139" s="379">
        <f t="shared" si="24"/>
        <v>611825.72899353458</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179009.93639999998</v>
      </c>
      <c r="F140" s="379">
        <f t="shared" si="25"/>
        <v>178112.27186547956</v>
      </c>
      <c r="G140" s="379">
        <f t="shared" si="25"/>
        <v>177158.60893357839</v>
      </c>
      <c r="H140" s="379">
        <f t="shared" si="25"/>
        <v>176146.3058320811</v>
      </c>
      <c r="I140" s="379">
        <f t="shared" si="25"/>
        <v>175072.60708115756</v>
      </c>
      <c r="J140" s="379">
        <f t="shared" si="25"/>
        <v>173934.63878432332</v>
      </c>
      <c r="K140" s="379">
        <f t="shared" si="25"/>
        <v>172729.40372782451</v>
      </c>
      <c r="L140" s="379">
        <f t="shared" si="25"/>
        <v>171453.77628071871</v>
      </c>
      <c r="M140" s="379">
        <f t="shared" si="25"/>
        <v>170104.49708761479</v>
      </c>
      <c r="N140" s="379">
        <f t="shared" si="25"/>
        <v>168678.1675457104</v>
      </c>
      <c r="O140" s="379">
        <f t="shared" si="25"/>
        <v>167171.24405743208</v>
      </c>
      <c r="P140" s="379">
        <f t="shared" si="25"/>
        <v>165580.03204963089</v>
      </c>
      <c r="Q140" s="379">
        <f t="shared" si="25"/>
        <v>163900.67974992609</v>
      </c>
      <c r="R140" s="379">
        <f t="shared" si="25"/>
        <v>162129.17171040972</v>
      </c>
      <c r="S140" s="379">
        <f t="shared" si="25"/>
        <v>160261.32206853281</v>
      </c>
      <c r="T140" s="379">
        <f t="shared" si="25"/>
        <v>-107394.15623864277</v>
      </c>
      <c r="U140" s="379">
        <f t="shared" si="25"/>
        <v>-109542.03936341565</v>
      </c>
      <c r="V140" s="379">
        <f t="shared" si="25"/>
        <v>-111732.88015068395</v>
      </c>
      <c r="W140" s="379">
        <f t="shared" si="25"/>
        <v>-113967.53775369762</v>
      </c>
      <c r="X140" s="379">
        <f t="shared" si="25"/>
        <v>-116246.88850877158</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-536126.37814215792</v>
      </c>
      <c r="F142" s="386">
        <f t="shared" si="26"/>
        <v>-542311.36267667834</v>
      </c>
      <c r="G142" s="386">
        <f t="shared" si="26"/>
        <v>-548658.09200857941</v>
      </c>
      <c r="H142" s="386">
        <f t="shared" si="26"/>
        <v>-555171.32283807674</v>
      </c>
      <c r="I142" s="386">
        <f t="shared" si="26"/>
        <v>-561855.96787156025</v>
      </c>
      <c r="J142" s="386">
        <f t="shared" si="26"/>
        <v>-568717.10137660569</v>
      </c>
      <c r="K142" s="386">
        <f t="shared" si="26"/>
        <v>-575759.96494547976</v>
      </c>
      <c r="L142" s="386">
        <f t="shared" si="26"/>
        <v>-582989.97347520862</v>
      </c>
      <c r="M142" s="386">
        <f t="shared" si="26"/>
        <v>-590412.72137258784</v>
      </c>
      <c r="N142" s="386">
        <f t="shared" si="26"/>
        <v>-598033.98899285309</v>
      </c>
      <c r="O142" s="386">
        <f t="shared" si="26"/>
        <v>-605859.74932105979</v>
      </c>
      <c r="P142" s="386">
        <f t="shared" si="26"/>
        <v>-613896.17490558745</v>
      </c>
      <c r="Q142" s="386">
        <f t="shared" si="26"/>
        <v>-622149.64505355363</v>
      </c>
      <c r="R142" s="386">
        <f t="shared" si="26"/>
        <v>-630626.75329829636</v>
      </c>
      <c r="S142" s="386">
        <f t="shared" si="26"/>
        <v>-639334.31514950434</v>
      </c>
      <c r="T142" s="386">
        <f t="shared" si="26"/>
        <v>457838.24501737184</v>
      </c>
      <c r="U142" s="386">
        <f t="shared" si="26"/>
        <v>466995.00991771929</v>
      </c>
      <c r="V142" s="386">
        <f t="shared" si="26"/>
        <v>476334.91011607368</v>
      </c>
      <c r="W142" s="386">
        <f t="shared" si="26"/>
        <v>485861.6083183951</v>
      </c>
      <c r="X142" s="386">
        <f t="shared" si="26"/>
        <v>495578.84048476303</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-7159769.9999999981</v>
      </c>
      <c r="E143" s="379">
        <f>E132+E140</f>
        <v>-85356.063600000023</v>
      </c>
      <c r="F143" s="379">
        <f t="shared" ref="F143:AR143" si="27">F132+F140</f>
        <v>-91541.048134520446</v>
      </c>
      <c r="G143" s="379">
        <f t="shared" si="27"/>
        <v>-97887.777466421627</v>
      </c>
      <c r="H143" s="379">
        <f t="shared" si="27"/>
        <v>-104401.0082959189</v>
      </c>
      <c r="I143" s="379">
        <f t="shared" si="27"/>
        <v>-111085.65332940244</v>
      </c>
      <c r="J143" s="379">
        <f t="shared" si="27"/>
        <v>-117946.78683444791</v>
      </c>
      <c r="K143" s="379">
        <f t="shared" si="27"/>
        <v>-124989.65040332213</v>
      </c>
      <c r="L143" s="379">
        <f t="shared" si="27"/>
        <v>-132219.65893305078</v>
      </c>
      <c r="M143" s="379">
        <f t="shared" si="27"/>
        <v>-139642.40683043015</v>
      </c>
      <c r="N143" s="379">
        <f t="shared" si="27"/>
        <v>-147263.6744506954</v>
      </c>
      <c r="O143" s="379">
        <f t="shared" si="27"/>
        <v>-155089.43477890189</v>
      </c>
      <c r="P143" s="379">
        <f t="shared" si="27"/>
        <v>-163125.8603634297</v>
      </c>
      <c r="Q143" s="379">
        <f t="shared" si="27"/>
        <v>-171379.33051139576</v>
      </c>
      <c r="R143" s="379">
        <f t="shared" si="27"/>
        <v>-179856.43875613852</v>
      </c>
      <c r="S143" s="379">
        <f t="shared" si="27"/>
        <v>-188564.00060734648</v>
      </c>
      <c r="T143" s="379">
        <f t="shared" si="27"/>
        <v>457838.24501737184</v>
      </c>
      <c r="U143" s="379">
        <f t="shared" si="27"/>
        <v>466995.00991771929</v>
      </c>
      <c r="V143" s="379">
        <f t="shared" si="27"/>
        <v>476334.91011607368</v>
      </c>
      <c r="W143" s="379">
        <f t="shared" si="27"/>
        <v>485861.6083183951</v>
      </c>
      <c r="X143" s="379">
        <f t="shared" si="27"/>
        <v>495578.84048476303</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-2147930.9999999995</v>
      </c>
      <c r="E144" s="379">
        <f>E142</f>
        <v>-536126.37814215792</v>
      </c>
      <c r="F144" s="379">
        <f t="shared" ref="F144:AR144" si="28">F142</f>
        <v>-542311.36267667834</v>
      </c>
      <c r="G144" s="379">
        <f t="shared" si="28"/>
        <v>-548658.09200857941</v>
      </c>
      <c r="H144" s="379">
        <f t="shared" si="28"/>
        <v>-555171.32283807674</v>
      </c>
      <c r="I144" s="379">
        <f t="shared" si="28"/>
        <v>-561855.96787156025</v>
      </c>
      <c r="J144" s="379">
        <f t="shared" si="28"/>
        <v>-568717.10137660569</v>
      </c>
      <c r="K144" s="379">
        <f t="shared" si="28"/>
        <v>-575759.96494547976</v>
      </c>
      <c r="L144" s="379">
        <f t="shared" si="28"/>
        <v>-582989.97347520862</v>
      </c>
      <c r="M144" s="379">
        <f t="shared" si="28"/>
        <v>-590412.72137258784</v>
      </c>
      <c r="N144" s="379">
        <f t="shared" si="28"/>
        <v>-598033.98899285309</v>
      </c>
      <c r="O144" s="379">
        <f t="shared" si="28"/>
        <v>-605859.74932105979</v>
      </c>
      <c r="P144" s="379">
        <f t="shared" si="28"/>
        <v>-613896.17490558745</v>
      </c>
      <c r="Q144" s="379">
        <f t="shared" si="28"/>
        <v>-622149.64505355363</v>
      </c>
      <c r="R144" s="379">
        <f t="shared" si="28"/>
        <v>-630626.75329829636</v>
      </c>
      <c r="S144" s="379">
        <f t="shared" si="28"/>
        <v>-639334.31514950434</v>
      </c>
      <c r="T144" s="379">
        <f t="shared" si="28"/>
        <v>457838.24501737184</v>
      </c>
      <c r="U144" s="379">
        <f t="shared" si="28"/>
        <v>466995.00991771929</v>
      </c>
      <c r="V144" s="379">
        <f t="shared" si="28"/>
        <v>476334.91011607368</v>
      </c>
      <c r="W144" s="379">
        <f t="shared" si="28"/>
        <v>485861.6083183951</v>
      </c>
      <c r="X144" s="379">
        <f t="shared" si="28"/>
        <v>495578.84048476303</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15660000</v>
      </c>
      <c r="F145" s="379">
        <f t="shared" si="29"/>
        <v>15660000</v>
      </c>
      <c r="G145" s="379">
        <f t="shared" si="29"/>
        <v>15660000</v>
      </c>
      <c r="H145" s="379">
        <f t="shared" si="29"/>
        <v>15660000</v>
      </c>
      <c r="I145" s="379">
        <f t="shared" si="29"/>
        <v>15660000</v>
      </c>
      <c r="J145" s="379">
        <f t="shared" si="29"/>
        <v>15660000</v>
      </c>
      <c r="K145" s="379">
        <f t="shared" si="29"/>
        <v>15660000</v>
      </c>
      <c r="L145" s="379">
        <f t="shared" si="29"/>
        <v>15660000</v>
      </c>
      <c r="M145" s="379">
        <f t="shared" si="29"/>
        <v>15660000</v>
      </c>
      <c r="N145" s="379">
        <f t="shared" si="29"/>
        <v>15660000</v>
      </c>
      <c r="O145" s="379">
        <f t="shared" si="29"/>
        <v>15660000</v>
      </c>
      <c r="P145" s="379">
        <f t="shared" si="29"/>
        <v>15660000</v>
      </c>
      <c r="Q145" s="379">
        <f t="shared" si="29"/>
        <v>15660000</v>
      </c>
      <c r="R145" s="379">
        <f t="shared" si="29"/>
        <v>15660000</v>
      </c>
      <c r="S145" s="379">
        <f t="shared" si="29"/>
        <v>15660000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7159769.9999999991</v>
      </c>
      <c r="E146" s="123">
        <f>IF(E112&lt;=$C76,D146-($C$5*E118+E132+E135),D146-(E132+E135))</f>
        <v>6731989.5599999987</v>
      </c>
      <c r="F146" s="123">
        <f t="shared" ref="F146:AR146" si="30">IF(F112&lt;=$C76,E146-($C$5*F118+F132+F135),E146-(F132+F135))</f>
        <v>6299484.5698183123</v>
      </c>
      <c r="G146" s="123">
        <f t="shared" si="30"/>
        <v>5861960.3010476725</v>
      </c>
      <c r="H146" s="123">
        <f t="shared" si="30"/>
        <v>5419108.1212165207</v>
      </c>
      <c r="I146" s="123">
        <f>IF(I112&lt;=$C76,H146-($C$5*I118+I132+I135),H146-(I132+I135))</f>
        <v>4970604.8953278763</v>
      </c>
      <c r="J146" s="123">
        <f t="shared" si="30"/>
        <v>4516112.3626137888</v>
      </c>
      <c r="K146" s="123">
        <f>IF(K112&lt;=$C76,J146-($C$5*K118+K132+K135),J146-(K132+K135))</f>
        <v>4055276.4874970759</v>
      </c>
      <c r="L146" s="123">
        <f t="shared" si="30"/>
        <v>3587726.783711385</v>
      </c>
      <c r="M146" s="123">
        <f t="shared" si="30"/>
        <v>3113075.6104883049</v>
      </c>
      <c r="N146" s="123">
        <f t="shared" si="30"/>
        <v>2630917.4396762541</v>
      </c>
      <c r="O146" s="123">
        <f t="shared" si="30"/>
        <v>2140828.0926101073</v>
      </c>
      <c r="P146" s="123">
        <f t="shared" si="30"/>
        <v>1642363.9455029014</v>
      </c>
      <c r="Q146" s="123">
        <f t="shared" si="30"/>
        <v>1135061.1020814599</v>
      </c>
      <c r="R146" s="123">
        <f t="shared" si="30"/>
        <v>618434.53213624796</v>
      </c>
      <c r="S146" s="123">
        <f t="shared" si="30"/>
        <v>91977.174602210289</v>
      </c>
      <c r="T146" s="123">
        <f t="shared" si="30"/>
        <v>-473255.2266538043</v>
      </c>
      <c r="U146" s="123">
        <f t="shared" si="30"/>
        <v>-1049792.2759349393</v>
      </c>
      <c r="V146" s="123">
        <f t="shared" si="30"/>
        <v>-1637860.0662016969</v>
      </c>
      <c r="W146" s="123">
        <f t="shared" si="30"/>
        <v>-2237689.2122737896</v>
      </c>
      <c r="X146" s="123">
        <f t="shared" si="30"/>
        <v>-2849514.9412673241</v>
      </c>
      <c r="Y146" s="123">
        <f t="shared" si="30"/>
        <v>-2849514.9412673241</v>
      </c>
      <c r="Z146" s="123">
        <f t="shared" si="30"/>
        <v>-2849514.9412673241</v>
      </c>
      <c r="AA146" s="123">
        <f>IF(AA112&lt;=$C76,Z146-($C$5*AA118+AA132+AA135),Z146-(AA132+AA135))</f>
        <v>-2849514.9412673241</v>
      </c>
      <c r="AB146" s="123">
        <f t="shared" si="30"/>
        <v>-2849514.9412673241</v>
      </c>
      <c r="AC146" s="123">
        <f t="shared" si="30"/>
        <v>-2849514.9412673241</v>
      </c>
      <c r="AD146" s="123">
        <f t="shared" si="30"/>
        <v>-2849514.9412673241</v>
      </c>
      <c r="AE146" s="123">
        <f>IF(AE112&lt;=$C76,AD146-($C$5*AE118+AE132+AE135),AD146-(AE132+AE135))</f>
        <v>-2849514.9412673241</v>
      </c>
      <c r="AF146" s="123">
        <f t="shared" si="30"/>
        <v>-2849514.9412673241</v>
      </c>
      <c r="AG146" s="123">
        <f>IF(AG112&lt;=$C76,AF146-($C$5*AG118+AG132+AG135),AF146-(AG132+AG135))</f>
        <v>-2849514.9412673241</v>
      </c>
      <c r="AH146" s="123">
        <f t="shared" si="30"/>
        <v>-2849514.9412673241</v>
      </c>
      <c r="AI146" s="123">
        <f t="shared" si="30"/>
        <v>-2849514.9412673241</v>
      </c>
      <c r="AJ146" s="123">
        <f t="shared" si="30"/>
        <v>-2849514.9412673241</v>
      </c>
      <c r="AK146" s="123">
        <f t="shared" si="30"/>
        <v>-2849514.9412673241</v>
      </c>
      <c r="AL146" s="123">
        <f t="shared" si="30"/>
        <v>-2849514.9412673241</v>
      </c>
      <c r="AM146" s="123">
        <f t="shared" si="30"/>
        <v>-2849514.9412673241</v>
      </c>
      <c r="AN146" s="123">
        <f t="shared" si="30"/>
        <v>-2849514.9412673241</v>
      </c>
      <c r="AO146" s="123">
        <f t="shared" si="30"/>
        <v>-2849514.9412673241</v>
      </c>
      <c r="AP146" s="123">
        <f t="shared" si="30"/>
        <v>-2849514.9412673241</v>
      </c>
      <c r="AQ146" s="123">
        <f t="shared" si="30"/>
        <v>-2849514.9412673241</v>
      </c>
      <c r="AR146" s="387">
        <f t="shared" si="30"/>
        <v>-2849514.9412673241</v>
      </c>
    </row>
    <row r="147" spans="1:44" ht="13" thickBot="1" x14ac:dyDescent="0.3">
      <c r="B147" s="124" t="s">
        <v>473</v>
      </c>
      <c r="C147" s="125"/>
      <c r="D147" s="125"/>
      <c r="E147" s="126">
        <f t="shared" ref="E147:AR147" si="31">IF(E112&gt;$C$74,"",(-$C$94*(E139+$C$5*E118)+E132+$C$5*E118)/-E137)</f>
        <v>1.414614307616219</v>
      </c>
      <c r="F147" s="126">
        <f t="shared" si="31"/>
        <v>1.4008933851530743</v>
      </c>
      <c r="G147" s="126">
        <f t="shared" si="31"/>
        <v>1.3868136440362542</v>
      </c>
      <c r="H147" s="126">
        <f t="shared" si="31"/>
        <v>1.3723645318845086</v>
      </c>
      <c r="I147" s="126">
        <f t="shared" si="31"/>
        <v>1.3575351502286355</v>
      </c>
      <c r="J147" s="126">
        <f t="shared" si="31"/>
        <v>1.3423142421881089</v>
      </c>
      <c r="K147" s="126">
        <f t="shared" si="31"/>
        <v>1.3266901796851744</v>
      </c>
      <c r="L147" s="126">
        <f t="shared" si="31"/>
        <v>1.3106509501785195</v>
      </c>
      <c r="M147" s="126">
        <f t="shared" si="31"/>
        <v>1.2941841428979235</v>
      </c>
      <c r="N147" s="126">
        <f t="shared" si="31"/>
        <v>1.2772769345605555</v>
      </c>
      <c r="O147" s="126">
        <f t="shared" si="31"/>
        <v>1.2599160745488327</v>
      </c>
      <c r="P147" s="126">
        <f t="shared" si="31"/>
        <v>1.2420878695289654</v>
      </c>
      <c r="Q147" s="126">
        <f t="shared" si="31"/>
        <v>1.2237781674884725</v>
      </c>
      <c r="R147" s="126">
        <f t="shared" si="31"/>
        <v>1.2049723411701336</v>
      </c>
      <c r="S147" s="126">
        <f t="shared" si="31"/>
        <v>1.1856552708789097</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-4650908.4228837769</v>
      </c>
      <c r="D150" s="57" t="s">
        <v>476</v>
      </c>
    </row>
    <row r="151" spans="1:44" x14ac:dyDescent="0.25">
      <c r="B151" s="26" t="s">
        <v>477</v>
      </c>
      <c r="C151" s="153">
        <f>(1-$C$94)*NPV($C$91,E145:AR145)</f>
        <v>119269093.35477357</v>
      </c>
      <c r="D151" s="58" t="str">
        <f>$C$7</f>
        <v>kWh</v>
      </c>
      <c r="F151" s="59"/>
    </row>
    <row r="152" spans="1:44" x14ac:dyDescent="0.25">
      <c r="B152" s="26" t="s">
        <v>478</v>
      </c>
      <c r="C152" s="153">
        <f>$C$41*1000000</f>
        <v>7159769.9999999991</v>
      </c>
      <c r="D152" s="57" t="s">
        <v>424</v>
      </c>
      <c r="F152" s="60"/>
    </row>
    <row r="153" spans="1:44" x14ac:dyDescent="0.25">
      <c r="B153" s="26" t="s">
        <v>479</v>
      </c>
      <c r="C153" s="154">
        <f>AVERAGE(E147:AR147)</f>
        <v>1.3066498128029527</v>
      </c>
      <c r="D153" s="57"/>
      <c r="F153" s="60"/>
    </row>
    <row r="154" spans="1:44" x14ac:dyDescent="0.25">
      <c r="B154" s="26" t="s">
        <v>480</v>
      </c>
      <c r="C154" s="155" t="str">
        <f>CONCATENATE(ROUND(((1-$C$94)*$C$90*$C$92+$C$93*$C$91)*100,1),"% / ",ROUND((((1+(1-$C$94)*$C$90*$C$92+$C$93*$C$91)/(1+$C$89))-1)*100,1),"%")</f>
        <v>4.2% / 2.2%</v>
      </c>
      <c r="D154" s="57"/>
      <c r="F154" s="59"/>
      <c r="G154" s="61"/>
    </row>
    <row r="155" spans="1:44" x14ac:dyDescent="0.25">
      <c r="B155" s="26" t="s">
        <v>481</v>
      </c>
      <c r="C155" s="156">
        <f>IFERROR(IRR(D143:AR143),"n.v.t.")</f>
        <v>-8.5153592364645814E-2</v>
      </c>
      <c r="D155" s="57"/>
      <c r="F155" s="60"/>
      <c r="G155" s="61"/>
    </row>
    <row r="156" spans="1:44" x14ac:dyDescent="0.25">
      <c r="B156" s="26" t="s">
        <v>482</v>
      </c>
      <c r="C156" s="156">
        <f>IFERROR(IRR(D144:AR144),"n.v.t.")</f>
        <v>-0.1462939247069901</v>
      </c>
      <c r="D156" s="57"/>
      <c r="G156" s="61"/>
    </row>
    <row r="157" spans="1:44" x14ac:dyDescent="0.25">
      <c r="B157" s="38" t="s">
        <v>483</v>
      </c>
      <c r="C157" s="153">
        <f>$C$92*C152-C97</f>
        <v>5011838.9999999991</v>
      </c>
      <c r="D157" s="57" t="s">
        <v>424</v>
      </c>
      <c r="F157" s="35"/>
    </row>
    <row r="158" spans="1:44" x14ac:dyDescent="0.25">
      <c r="B158" s="38" t="s">
        <v>484</v>
      </c>
      <c r="C158" s="153">
        <f>$C$93*C152-C98</f>
        <v>2147930.9999999995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3480</v>
      </c>
      <c r="D160" s="57" t="s">
        <v>340</v>
      </c>
      <c r="F160" s="35"/>
    </row>
    <row r="161" spans="2:44" x14ac:dyDescent="0.25">
      <c r="B161" s="43" t="s">
        <v>487</v>
      </c>
      <c r="C161" s="461" t="str">
        <f>CONCATENATE( "tussen ", INDEX(D112:X112, MATCH(0,D146:X146, -1)), " en ",  1 + INDEX(D112:X112, MATCH(0,D146:X146, -1)), " jaar")</f>
        <v>tussen 15 en 16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20" priority="3" operator="containsText" text="Pas op">
      <formula>NOT(ISERROR(SEARCH("Pas op",G1)))</formula>
    </cfRule>
  </conditionalFormatting>
  <conditionalFormatting sqref="G105">
    <cfRule type="containsText" dxfId="19" priority="1" operator="containsText" text="Pas op">
      <formula>NOT(ISERROR(SEARCH("Pas op",G105)))</formula>
    </cfRule>
  </conditionalFormatting>
  <conditionalFormatting sqref="G184:G1048576">
    <cfRule type="containsText" dxfId="18" priority="2" operator="containsText" text="Pas op">
      <formula>NOT(ISERROR(SEARCH("Pas op",G184)))</formula>
    </cfRule>
  </conditionalFormatting>
  <dataValidations count="3">
    <dataValidation type="list" allowBlank="1" showInputMessage="1" showErrorMessage="1" sqref="C14" xr:uid="{DC0C6142-F82A-4423-B5C2-111FDF1100BE}">
      <formula1>"Nee,Ja,Geen warmte"</formula1>
    </dataValidation>
    <dataValidation type="list" allowBlank="1" showInputMessage="1" showErrorMessage="1" sqref="C7" xr:uid="{C8CC0769-B25C-479B-8FB9-F94ECBD8B4AE}">
      <formula1>"t CO2,kWh"</formula1>
    </dataValidation>
    <dataValidation type="list" allowBlank="1" showInputMessage="1" showErrorMessage="1" sqref="C37361 C102897 C168433 C233969 C299505 C365041 C430577 C496113 C561649 C627185 C692721 C758257 C823793 C889329 C954865" xr:uid="{5E082F06-B350-41CB-BB87-97C7F1705CE4}">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4B55F0AA-5434-415A-9B87-EDA02BBB0B1F}">
          <x14:formula1>
            <xm:f>Correcties!$A$8:$A$8</xm:f>
          </x14:formula1>
          <xm:sqref>C15</xm:sqref>
        </x14:dataValidation>
        <x14:dataValidation type="list" allowBlank="1" showInputMessage="1" showErrorMessage="1" xr:uid="{3295A1BB-4084-4263-A3B3-0D9C2DC52B5D}">
          <x14:formula1>
            <xm:f>Correcties!$A$27:$A$38</xm:f>
          </x14:formula1>
          <xm:sqref>C13</xm:sqref>
        </x14:dataValidation>
        <x14:dataValidation type="list" allowBlank="1" showInputMessage="1" showErrorMessage="1" xr:uid="{1226B900-C8BD-4E53-BC7C-C8AA50FF2615}">
          <x14:formula1>
            <xm:f>Colofon!$B$34:$B$39</xm:f>
          </x14:formula1>
          <xm:sqref>C9</xm:sqref>
        </x14:dataValidation>
        <x14:dataValidation type="list" allowBlank="1" showInputMessage="1" showErrorMessage="1" xr:uid="{D1ADC959-6969-4790-A1CB-64C05E60689D}">
          <x14:formula1>
            <xm:f>Correcties!$A$10:$A$10</xm:f>
          </x14:formula1>
          <xm:sqref>C16</xm:sqref>
        </x14:dataValidation>
        <x14:dataValidation type="list" allowBlank="1" showInputMessage="1" showErrorMessage="1" xr:uid="{02A3AA0C-BC3E-4F32-9E15-E37619F6E0A2}">
          <x14:formula1>
            <xm:f>Correcties!$A$4:$A$10</xm:f>
          </x14:formula1>
          <xm:sqref>C12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EA9D-93FA-4099-99B1-A021614FBA34}">
  <sheetPr codeName="Sheet105">
    <tabColor theme="5" tint="0.39997558519241921"/>
    <pageSetUpPr fitToPage="1"/>
  </sheetPr>
  <dimension ref="A1:AR198"/>
  <sheetViews>
    <sheetView showGridLines="0" topLeftCell="A119"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520</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5.9700000000000003E-2</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102.47026532479417</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IFERROR(INDEX(Correcties!$A$1:$I$301,MATCH('16'!C12,Correcties!$A$1:$A$301,0),5),"")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4500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4500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3300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1580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7.1597699999999991</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14.9</v>
      </c>
      <c r="D43" s="99" t="str">
        <f>CONCATENATE("Euro/",$C$8,"/jaar")</f>
        <v>Euro/kW/jaar</v>
      </c>
      <c r="E43" s="447" t="s">
        <v>357</v>
      </c>
      <c r="F43" s="447"/>
      <c r="G43" s="447"/>
      <c r="H43" s="447"/>
      <c r="I43" s="447"/>
      <c r="J43" s="447"/>
      <c r="K43" s="447"/>
      <c r="L43" s="447"/>
      <c r="M43" s="448"/>
    </row>
    <row r="44" spans="2:13" x14ac:dyDescent="0.25">
      <c r="B44" s="96" t="s">
        <v>359</v>
      </c>
      <c r="C44" s="348">
        <f>(C42*C21+C43*SUM(C26,C28))/1000</f>
        <v>67.05</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1.26E-2</v>
      </c>
      <c r="D48" s="99" t="str">
        <f>CONCATENATE("Euro/",$C$7)</f>
        <v>Euro/kWh</v>
      </c>
      <c r="E48" s="447"/>
      <c r="F48" s="447"/>
      <c r="G48" s="447"/>
      <c r="H48" s="447"/>
      <c r="I48" s="447"/>
      <c r="J48" s="447"/>
      <c r="K48" s="447"/>
      <c r="L48" s="447"/>
      <c r="M48" s="448"/>
    </row>
    <row r="49" spans="2:13" x14ac:dyDescent="0.25">
      <c r="B49" s="97" t="s">
        <v>366</v>
      </c>
      <c r="C49" s="142">
        <f>SUM(C45:C48)</f>
        <v>1.26E-2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3300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222750000</v>
      </c>
      <c r="D84" s="98" t="str">
        <f>C7</f>
        <v>kWh</v>
      </c>
      <c r="E84" s="447"/>
      <c r="F84" s="447"/>
      <c r="G84" s="447"/>
      <c r="H84" s="447"/>
      <c r="I84" s="447"/>
      <c r="J84" s="447"/>
      <c r="K84" s="447"/>
      <c r="L84" s="447"/>
      <c r="M84" s="448"/>
    </row>
    <row r="85" spans="2:13" x14ac:dyDescent="0.25">
      <c r="B85" s="113" t="s">
        <v>413</v>
      </c>
      <c r="C85" s="145">
        <f>IF(C77=0,SUM(E118:INDEX(E118:AR118,1,C73)),SUM(E118:INDEX(E118:AR118,1,C77)))</f>
        <v>297000000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0.04</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-7159769.9999999991</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14850000</v>
      </c>
      <c r="F115" s="379">
        <f t="shared" si="4"/>
        <v>14850000</v>
      </c>
      <c r="G115" s="379">
        <f t="shared" si="4"/>
        <v>14850000</v>
      </c>
      <c r="H115" s="379">
        <f t="shared" si="4"/>
        <v>14850000</v>
      </c>
      <c r="I115" s="379">
        <f t="shared" si="4"/>
        <v>14850000</v>
      </c>
      <c r="J115" s="379">
        <f t="shared" si="4"/>
        <v>14850000</v>
      </c>
      <c r="K115" s="379">
        <f t="shared" si="4"/>
        <v>14850000</v>
      </c>
      <c r="L115" s="379">
        <f t="shared" si="4"/>
        <v>14850000</v>
      </c>
      <c r="M115" s="379">
        <f t="shared" si="4"/>
        <v>14850000</v>
      </c>
      <c r="N115" s="379">
        <f t="shared" si="4"/>
        <v>14850000</v>
      </c>
      <c r="O115" s="379">
        <f t="shared" si="4"/>
        <v>14850000</v>
      </c>
      <c r="P115" s="379">
        <f t="shared" si="4"/>
        <v>14850000</v>
      </c>
      <c r="Q115" s="379">
        <f t="shared" si="4"/>
        <v>14850000</v>
      </c>
      <c r="R115" s="379">
        <f t="shared" si="4"/>
        <v>14850000</v>
      </c>
      <c r="S115" s="379">
        <f t="shared" si="4"/>
        <v>14850000</v>
      </c>
      <c r="T115" s="379">
        <f t="shared" si="4"/>
        <v>14850000</v>
      </c>
      <c r="U115" s="379">
        <f t="shared" si="4"/>
        <v>14850000</v>
      </c>
      <c r="V115" s="379">
        <f t="shared" si="4"/>
        <v>14850000</v>
      </c>
      <c r="W115" s="379">
        <f t="shared" si="4"/>
        <v>14850000</v>
      </c>
      <c r="X115" s="379">
        <f t="shared" si="4"/>
        <v>14850000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14850000</v>
      </c>
      <c r="F118" s="150">
        <f t="shared" ref="F118:AR118" si="7">SUM(F115:F117)</f>
        <v>14850000</v>
      </c>
      <c r="G118" s="150">
        <f t="shared" si="7"/>
        <v>14850000</v>
      </c>
      <c r="H118" s="150">
        <f t="shared" si="7"/>
        <v>14850000</v>
      </c>
      <c r="I118" s="150">
        <f t="shared" si="7"/>
        <v>14850000</v>
      </c>
      <c r="J118" s="150">
        <f t="shared" si="7"/>
        <v>14850000</v>
      </c>
      <c r="K118" s="150">
        <f t="shared" si="7"/>
        <v>14850000</v>
      </c>
      <c r="L118" s="150">
        <f t="shared" si="7"/>
        <v>14850000</v>
      </c>
      <c r="M118" s="150">
        <f t="shared" si="7"/>
        <v>14850000</v>
      </c>
      <c r="N118" s="150">
        <f t="shared" si="7"/>
        <v>14850000</v>
      </c>
      <c r="O118" s="150">
        <f t="shared" si="7"/>
        <v>14850000</v>
      </c>
      <c r="P118" s="150">
        <f t="shared" si="7"/>
        <v>14850000</v>
      </c>
      <c r="Q118" s="150">
        <f t="shared" si="7"/>
        <v>14850000</v>
      </c>
      <c r="R118" s="150">
        <f t="shared" si="7"/>
        <v>14850000</v>
      </c>
      <c r="S118" s="150">
        <f t="shared" si="7"/>
        <v>14850000</v>
      </c>
      <c r="T118" s="150">
        <f t="shared" si="7"/>
        <v>14850000</v>
      </c>
      <c r="U118" s="150">
        <f t="shared" si="7"/>
        <v>14850000</v>
      </c>
      <c r="V118" s="150">
        <f t="shared" si="7"/>
        <v>14850000</v>
      </c>
      <c r="W118" s="150">
        <f t="shared" si="7"/>
        <v>14850000</v>
      </c>
      <c r="X118" s="150">
        <f t="shared" si="7"/>
        <v>14850000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-254160</v>
      </c>
      <c r="F120" s="379">
        <f t="shared" ref="F120:AR120" si="8">IF(F112&gt;$C$73,0,-F109*(($C$42*$C$21+$C$43*SUM($C$26,$C$28))+F118*$C$49))+IF($C$101=F112,$D$101*F109,0)+IF($C$102=F112,$D$102*F109,0)+IF($C$103=F112,$D$103*F109,0)</f>
        <v>-259243.2</v>
      </c>
      <c r="G120" s="379">
        <f t="shared" si="8"/>
        <v>-264428.06400000001</v>
      </c>
      <c r="H120" s="379">
        <f t="shared" si="8"/>
        <v>-269716.62527999998</v>
      </c>
      <c r="I120" s="379">
        <f t="shared" si="8"/>
        <v>-275110.95778559998</v>
      </c>
      <c r="J120" s="379">
        <f t="shared" si="8"/>
        <v>-280613.17694131198</v>
      </c>
      <c r="K120" s="379">
        <f t="shared" si="8"/>
        <v>-286225.44048013823</v>
      </c>
      <c r="L120" s="379">
        <f t="shared" si="8"/>
        <v>-291949.94928974094</v>
      </c>
      <c r="M120" s="379">
        <f t="shared" si="8"/>
        <v>-297788.94827553583</v>
      </c>
      <c r="N120" s="379">
        <f t="shared" si="8"/>
        <v>-303744.72724104649</v>
      </c>
      <c r="O120" s="379">
        <f t="shared" si="8"/>
        <v>-309819.62178586749</v>
      </c>
      <c r="P120" s="379">
        <f t="shared" si="8"/>
        <v>-316016.01422158477</v>
      </c>
      <c r="Q120" s="379">
        <f t="shared" si="8"/>
        <v>-322336.33450601652</v>
      </c>
      <c r="R120" s="379">
        <f t="shared" si="8"/>
        <v>-328783.06119613681</v>
      </c>
      <c r="S120" s="379">
        <f t="shared" si="8"/>
        <v>-335358.72242005961</v>
      </c>
      <c r="T120" s="379">
        <f t="shared" si="8"/>
        <v>-342065.8968684607</v>
      </c>
      <c r="U120" s="379">
        <f t="shared" si="8"/>
        <v>-348907.21480582998</v>
      </c>
      <c r="V120" s="379">
        <f t="shared" si="8"/>
        <v>-355885.35910194658</v>
      </c>
      <c r="W120" s="379">
        <f t="shared" si="8"/>
        <v>-363003.06628398545</v>
      </c>
      <c r="X120" s="379">
        <f t="shared" si="8"/>
        <v>-370263.12760966516</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873394.52881375211</v>
      </c>
      <c r="U127" s="379">
        <f t="shared" si="15"/>
        <v>890862.41939002729</v>
      </c>
      <c r="V127" s="379">
        <f t="shared" si="15"/>
        <v>908679.66777782782</v>
      </c>
      <c r="W127" s="379">
        <f t="shared" si="15"/>
        <v>926853.26113338431</v>
      </c>
      <c r="X127" s="379">
        <f t="shared" si="15"/>
        <v>945390.32635605207</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873394.52881375211</v>
      </c>
      <c r="U130" s="379">
        <f t="shared" si="17"/>
        <v>890862.41939002729</v>
      </c>
      <c r="V130" s="379">
        <f t="shared" si="17"/>
        <v>908679.66777782782</v>
      </c>
      <c r="W130" s="379">
        <f t="shared" si="17"/>
        <v>926853.26113338431</v>
      </c>
      <c r="X130" s="379">
        <f t="shared" si="17"/>
        <v>945390.32635605207</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-254160</v>
      </c>
      <c r="F131" s="379">
        <f t="shared" si="18"/>
        <v>-259243.2</v>
      </c>
      <c r="G131" s="379">
        <f t="shared" si="18"/>
        <v>-264428.06400000001</v>
      </c>
      <c r="H131" s="379">
        <f t="shared" si="18"/>
        <v>-269716.62527999998</v>
      </c>
      <c r="I131" s="379">
        <f t="shared" si="18"/>
        <v>-275110.95778559998</v>
      </c>
      <c r="J131" s="379">
        <f t="shared" si="18"/>
        <v>-280613.17694131198</v>
      </c>
      <c r="K131" s="379">
        <f t="shared" si="18"/>
        <v>-286225.44048013823</v>
      </c>
      <c r="L131" s="379">
        <f t="shared" si="18"/>
        <v>-291949.94928974094</v>
      </c>
      <c r="M131" s="379">
        <f t="shared" si="18"/>
        <v>-297788.94827553583</v>
      </c>
      <c r="N131" s="379">
        <f t="shared" si="18"/>
        <v>-303744.72724104649</v>
      </c>
      <c r="O131" s="379">
        <f t="shared" si="18"/>
        <v>-309819.62178586749</v>
      </c>
      <c r="P131" s="379">
        <f t="shared" si="18"/>
        <v>-316016.01422158477</v>
      </c>
      <c r="Q131" s="379">
        <f t="shared" si="18"/>
        <v>-322336.33450601652</v>
      </c>
      <c r="R131" s="379">
        <f t="shared" si="18"/>
        <v>-328783.06119613681</v>
      </c>
      <c r="S131" s="379">
        <f t="shared" si="18"/>
        <v>-335358.72242005961</v>
      </c>
      <c r="T131" s="379">
        <f t="shared" si="18"/>
        <v>-342065.8968684607</v>
      </c>
      <c r="U131" s="379">
        <f t="shared" si="18"/>
        <v>-348907.21480582998</v>
      </c>
      <c r="V131" s="379">
        <f t="shared" si="18"/>
        <v>-355885.35910194658</v>
      </c>
      <c r="W131" s="379">
        <f t="shared" si="18"/>
        <v>-363003.06628398545</v>
      </c>
      <c r="X131" s="379">
        <f t="shared" si="18"/>
        <v>-370263.12760966516</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-254160</v>
      </c>
      <c r="F132" s="386">
        <f t="shared" ref="F132:AR132" si="19">SUM(F130:F131)</f>
        <v>-259243.2</v>
      </c>
      <c r="G132" s="386">
        <f t="shared" si="19"/>
        <v>-264428.06400000001</v>
      </c>
      <c r="H132" s="386">
        <f t="shared" si="19"/>
        <v>-269716.62527999998</v>
      </c>
      <c r="I132" s="386">
        <f t="shared" si="19"/>
        <v>-275110.95778559998</v>
      </c>
      <c r="J132" s="386">
        <f t="shared" si="19"/>
        <v>-280613.17694131198</v>
      </c>
      <c r="K132" s="386">
        <f t="shared" si="19"/>
        <v>-286225.44048013823</v>
      </c>
      <c r="L132" s="386">
        <f t="shared" si="19"/>
        <v>-291949.94928974094</v>
      </c>
      <c r="M132" s="386">
        <f t="shared" si="19"/>
        <v>-297788.94827553583</v>
      </c>
      <c r="N132" s="386">
        <f t="shared" si="19"/>
        <v>-303744.72724104649</v>
      </c>
      <c r="O132" s="386">
        <f t="shared" si="19"/>
        <v>-309819.62178586749</v>
      </c>
      <c r="P132" s="386">
        <f t="shared" si="19"/>
        <v>-316016.01422158477</v>
      </c>
      <c r="Q132" s="386">
        <f t="shared" si="19"/>
        <v>-322336.33450601652</v>
      </c>
      <c r="R132" s="386">
        <f t="shared" si="19"/>
        <v>-328783.06119613681</v>
      </c>
      <c r="S132" s="386">
        <f t="shared" si="19"/>
        <v>-335358.72242005961</v>
      </c>
      <c r="T132" s="386">
        <f t="shared" si="19"/>
        <v>531328.63194529142</v>
      </c>
      <c r="U132" s="386">
        <f t="shared" si="19"/>
        <v>541955.20458419737</v>
      </c>
      <c r="V132" s="386">
        <f t="shared" si="19"/>
        <v>552794.30867588124</v>
      </c>
      <c r="W132" s="386">
        <f t="shared" si="19"/>
        <v>563850.19484939892</v>
      </c>
      <c r="X132" s="386">
        <f t="shared" si="19"/>
        <v>575127.19874638692</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-477317.99999999994</v>
      </c>
      <c r="F134" s="379">
        <f t="shared" si="20"/>
        <v>-477317.99999999994</v>
      </c>
      <c r="G134" s="379">
        <f t="shared" si="20"/>
        <v>-477317.99999999994</v>
      </c>
      <c r="H134" s="379">
        <f t="shared" si="20"/>
        <v>-477317.99999999994</v>
      </c>
      <c r="I134" s="379">
        <f t="shared" si="20"/>
        <v>-477317.99999999994</v>
      </c>
      <c r="J134" s="379">
        <f t="shared" si="20"/>
        <v>-477317.99999999994</v>
      </c>
      <c r="K134" s="379">
        <f t="shared" si="20"/>
        <v>-477317.99999999994</v>
      </c>
      <c r="L134" s="379">
        <f t="shared" si="20"/>
        <v>-477317.99999999994</v>
      </c>
      <c r="M134" s="379">
        <f t="shared" si="20"/>
        <v>-477317.99999999994</v>
      </c>
      <c r="N134" s="379">
        <f t="shared" si="20"/>
        <v>-477317.99999999994</v>
      </c>
      <c r="O134" s="379">
        <f t="shared" si="20"/>
        <v>-477317.99999999994</v>
      </c>
      <c r="P134" s="379">
        <f t="shared" si="20"/>
        <v>-477317.99999999994</v>
      </c>
      <c r="Q134" s="379">
        <f t="shared" si="20"/>
        <v>-477317.99999999994</v>
      </c>
      <c r="R134" s="379">
        <f t="shared" si="20"/>
        <v>-477317.99999999994</v>
      </c>
      <c r="S134" s="379">
        <f t="shared" si="20"/>
        <v>-477317.99999999994</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-200473.55999999997</v>
      </c>
      <c r="F135" s="379">
        <f t="shared" si="21"/>
        <v>-190461.68981831361</v>
      </c>
      <c r="G135" s="379">
        <f t="shared" si="21"/>
        <v>-180049.34482935988</v>
      </c>
      <c r="H135" s="379">
        <f t="shared" si="21"/>
        <v>-169220.50604084795</v>
      </c>
      <c r="I135" s="379">
        <f t="shared" si="21"/>
        <v>-157958.51370079556</v>
      </c>
      <c r="J135" s="379">
        <f t="shared" si="21"/>
        <v>-146246.04166714105</v>
      </c>
      <c r="K135" s="379">
        <f t="shared" si="21"/>
        <v>-134065.07075214037</v>
      </c>
      <c r="L135" s="379">
        <f t="shared" si="21"/>
        <v>-121396.86100053968</v>
      </c>
      <c r="M135" s="379">
        <f t="shared" si="21"/>
        <v>-108221.92285887497</v>
      </c>
      <c r="N135" s="379">
        <f t="shared" si="21"/>
        <v>-94519.987191543638</v>
      </c>
      <c r="O135" s="379">
        <f t="shared" si="21"/>
        <v>-80269.97409751908</v>
      </c>
      <c r="P135" s="379">
        <f t="shared" si="21"/>
        <v>-65449.960479733534</v>
      </c>
      <c r="Q135" s="379">
        <f t="shared" si="21"/>
        <v>-50037.146317236562</v>
      </c>
      <c r="R135" s="379">
        <f t="shared" si="21"/>
        <v>-34007.819588239712</v>
      </c>
      <c r="S135" s="379">
        <f t="shared" si="21"/>
        <v>-17337.319790082995</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-250296.75454215793</v>
      </c>
      <c r="F136" s="379">
        <f t="shared" si="22"/>
        <v>-260308.6247238442</v>
      </c>
      <c r="G136" s="379">
        <f t="shared" si="22"/>
        <v>-270720.9697127979</v>
      </c>
      <c r="H136" s="379">
        <f t="shared" si="22"/>
        <v>-281549.80850130989</v>
      </c>
      <c r="I136" s="379">
        <f t="shared" si="22"/>
        <v>-292811.80084136227</v>
      </c>
      <c r="J136" s="379">
        <f t="shared" si="22"/>
        <v>-304524.27287501673</v>
      </c>
      <c r="K136" s="379">
        <f t="shared" si="22"/>
        <v>-316705.24379001738</v>
      </c>
      <c r="L136" s="379">
        <f t="shared" si="22"/>
        <v>-329373.45354161813</v>
      </c>
      <c r="M136" s="379">
        <f t="shared" si="22"/>
        <v>-342548.39168328285</v>
      </c>
      <c r="N136" s="379">
        <f t="shared" si="22"/>
        <v>-356250.32735061413</v>
      </c>
      <c r="O136" s="379">
        <f t="shared" si="22"/>
        <v>-370500.34044463874</v>
      </c>
      <c r="P136" s="379">
        <f t="shared" si="22"/>
        <v>-385320.35406242422</v>
      </c>
      <c r="Q136" s="379">
        <f t="shared" si="22"/>
        <v>-400733.16822492122</v>
      </c>
      <c r="R136" s="379">
        <f t="shared" si="22"/>
        <v>-416762.4949539181</v>
      </c>
      <c r="S136" s="379">
        <f t="shared" si="22"/>
        <v>-433432.99475207488</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-450770.31454215792</v>
      </c>
      <c r="F137" s="386">
        <f t="shared" ref="F137:AR137" si="23">SUM(F135,F136)</f>
        <v>-450770.31454215781</v>
      </c>
      <c r="G137" s="386">
        <f t="shared" si="23"/>
        <v>-450770.31454215781</v>
      </c>
      <c r="H137" s="386">
        <f t="shared" si="23"/>
        <v>-450770.31454215781</v>
      </c>
      <c r="I137" s="386">
        <f t="shared" si="23"/>
        <v>-450770.31454215781</v>
      </c>
      <c r="J137" s="386">
        <f t="shared" si="23"/>
        <v>-450770.31454215781</v>
      </c>
      <c r="K137" s="386">
        <f t="shared" si="23"/>
        <v>-450770.31454215775</v>
      </c>
      <c r="L137" s="386">
        <f t="shared" si="23"/>
        <v>-450770.31454215781</v>
      </c>
      <c r="M137" s="386">
        <f t="shared" si="23"/>
        <v>-450770.31454215781</v>
      </c>
      <c r="N137" s="386">
        <f t="shared" si="23"/>
        <v>-450770.31454215775</v>
      </c>
      <c r="O137" s="386">
        <f t="shared" si="23"/>
        <v>-450770.31454215781</v>
      </c>
      <c r="P137" s="386">
        <f t="shared" si="23"/>
        <v>-450770.31454215775</v>
      </c>
      <c r="Q137" s="386">
        <f t="shared" si="23"/>
        <v>-450770.31454215781</v>
      </c>
      <c r="R137" s="386">
        <f t="shared" si="23"/>
        <v>-450770.31454215781</v>
      </c>
      <c r="S137" s="386">
        <f t="shared" si="23"/>
        <v>-450770.31454215787</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-931951.55999999994</v>
      </c>
      <c r="F139" s="379">
        <f t="shared" ref="F139:AR139" si="24">F132+F134+F135</f>
        <v>-927022.88981831353</v>
      </c>
      <c r="G139" s="379">
        <f t="shared" si="24"/>
        <v>-921795.40882935992</v>
      </c>
      <c r="H139" s="379">
        <f t="shared" si="24"/>
        <v>-916255.1313208479</v>
      </c>
      <c r="I139" s="379">
        <f t="shared" si="24"/>
        <v>-910387.47148639546</v>
      </c>
      <c r="J139" s="379">
        <f t="shared" si="24"/>
        <v>-904177.21860845294</v>
      </c>
      <c r="K139" s="379">
        <f t="shared" si="24"/>
        <v>-897608.51123227854</v>
      </c>
      <c r="L139" s="379">
        <f t="shared" si="24"/>
        <v>-890664.8102902805</v>
      </c>
      <c r="M139" s="379">
        <f t="shared" si="24"/>
        <v>-883328.87113441085</v>
      </c>
      <c r="N139" s="379">
        <f t="shared" si="24"/>
        <v>-875582.71443259018</v>
      </c>
      <c r="O139" s="379">
        <f t="shared" si="24"/>
        <v>-867407.59588338656</v>
      </c>
      <c r="P139" s="379">
        <f t="shared" si="24"/>
        <v>-858783.97470131819</v>
      </c>
      <c r="Q139" s="379">
        <f t="shared" si="24"/>
        <v>-849691.48082325305</v>
      </c>
      <c r="R139" s="379">
        <f t="shared" si="24"/>
        <v>-840108.88078437652</v>
      </c>
      <c r="S139" s="379">
        <f t="shared" si="24"/>
        <v>-830014.04221014259</v>
      </c>
      <c r="T139" s="379">
        <f t="shared" si="24"/>
        <v>531328.63194529142</v>
      </c>
      <c r="U139" s="379">
        <f t="shared" si="24"/>
        <v>541955.20458419737</v>
      </c>
      <c r="V139" s="379">
        <f t="shared" si="24"/>
        <v>552794.30867588124</v>
      </c>
      <c r="W139" s="379">
        <f t="shared" si="24"/>
        <v>563850.19484939892</v>
      </c>
      <c r="X139" s="379">
        <f t="shared" si="24"/>
        <v>575127.19874638692</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177070.79639999999</v>
      </c>
      <c r="F140" s="379">
        <f t="shared" si="25"/>
        <v>176134.34906547956</v>
      </c>
      <c r="G140" s="379">
        <f t="shared" si="25"/>
        <v>175141.12767757839</v>
      </c>
      <c r="H140" s="379">
        <f t="shared" si="25"/>
        <v>174088.4749509611</v>
      </c>
      <c r="I140" s="379">
        <f t="shared" si="25"/>
        <v>172973.61958241515</v>
      </c>
      <c r="J140" s="379">
        <f t="shared" si="25"/>
        <v>171793.67153560606</v>
      </c>
      <c r="K140" s="379">
        <f t="shared" si="25"/>
        <v>170545.61713413292</v>
      </c>
      <c r="L140" s="379">
        <f t="shared" si="25"/>
        <v>169226.31395515331</v>
      </c>
      <c r="M140" s="379">
        <f t="shared" si="25"/>
        <v>167832.48551553805</v>
      </c>
      <c r="N140" s="379">
        <f t="shared" si="25"/>
        <v>166360.71574219214</v>
      </c>
      <c r="O140" s="379">
        <f t="shared" si="25"/>
        <v>164807.44321784345</v>
      </c>
      <c r="P140" s="379">
        <f t="shared" si="25"/>
        <v>163168.95519325047</v>
      </c>
      <c r="Q140" s="379">
        <f t="shared" si="25"/>
        <v>161441.38135641807</v>
      </c>
      <c r="R140" s="379">
        <f t="shared" si="25"/>
        <v>159620.68734903153</v>
      </c>
      <c r="S140" s="379">
        <f t="shared" si="25"/>
        <v>157702.66801992711</v>
      </c>
      <c r="T140" s="379">
        <f t="shared" si="25"/>
        <v>-100952.44006960536</v>
      </c>
      <c r="U140" s="379">
        <f t="shared" si="25"/>
        <v>-102971.48887099751</v>
      </c>
      <c r="V140" s="379">
        <f t="shared" si="25"/>
        <v>-105030.91864841744</v>
      </c>
      <c r="W140" s="379">
        <f t="shared" si="25"/>
        <v>-107131.5370213858</v>
      </c>
      <c r="X140" s="379">
        <f t="shared" si="25"/>
        <v>-109274.16776181351</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-527859.51814215793</v>
      </c>
      <c r="F142" s="386">
        <f t="shared" si="26"/>
        <v>-533879.16547667817</v>
      </c>
      <c r="G142" s="386">
        <f t="shared" si="26"/>
        <v>-540057.25086457946</v>
      </c>
      <c r="H142" s="386">
        <f t="shared" si="26"/>
        <v>-546398.46487119677</v>
      </c>
      <c r="I142" s="386">
        <f t="shared" si="26"/>
        <v>-552907.65274534258</v>
      </c>
      <c r="J142" s="386">
        <f t="shared" si="26"/>
        <v>-559589.8199478637</v>
      </c>
      <c r="K142" s="386">
        <f t="shared" si="26"/>
        <v>-566450.1378881631</v>
      </c>
      <c r="L142" s="386">
        <f t="shared" si="26"/>
        <v>-573493.94987674546</v>
      </c>
      <c r="M142" s="386">
        <f t="shared" si="26"/>
        <v>-580726.77730215562</v>
      </c>
      <c r="N142" s="386">
        <f t="shared" si="26"/>
        <v>-588154.32604101219</v>
      </c>
      <c r="O142" s="386">
        <f t="shared" si="26"/>
        <v>-595782.49311018188</v>
      </c>
      <c r="P142" s="386">
        <f t="shared" si="26"/>
        <v>-603617.37357049203</v>
      </c>
      <c r="Q142" s="386">
        <f t="shared" si="26"/>
        <v>-611665.26769175613</v>
      </c>
      <c r="R142" s="386">
        <f t="shared" si="26"/>
        <v>-619932.688389263</v>
      </c>
      <c r="S142" s="386">
        <f t="shared" si="26"/>
        <v>-628426.36894229031</v>
      </c>
      <c r="T142" s="386">
        <f t="shared" si="26"/>
        <v>430376.19187568605</v>
      </c>
      <c r="U142" s="386">
        <f t="shared" si="26"/>
        <v>438983.71571319987</v>
      </c>
      <c r="V142" s="386">
        <f t="shared" si="26"/>
        <v>447763.39002746379</v>
      </c>
      <c r="W142" s="386">
        <f t="shared" si="26"/>
        <v>456718.65782801312</v>
      </c>
      <c r="X142" s="386">
        <f t="shared" si="26"/>
        <v>465853.03098457342</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-7159769.9999999981</v>
      </c>
      <c r="E143" s="379">
        <f>E132+E140</f>
        <v>-77089.203600000008</v>
      </c>
      <c r="F143" s="379">
        <f t="shared" ref="F143:AR143" si="27">F132+F140</f>
        <v>-83108.850934520451</v>
      </c>
      <c r="G143" s="379">
        <f t="shared" si="27"/>
        <v>-89286.936322421621</v>
      </c>
      <c r="H143" s="379">
        <f t="shared" si="27"/>
        <v>-95628.150329038879</v>
      </c>
      <c r="I143" s="379">
        <f t="shared" si="27"/>
        <v>-102137.33820318483</v>
      </c>
      <c r="J143" s="379">
        <f t="shared" si="27"/>
        <v>-108819.50540570592</v>
      </c>
      <c r="K143" s="379">
        <f t="shared" si="27"/>
        <v>-115679.82334600532</v>
      </c>
      <c r="L143" s="379">
        <f t="shared" si="27"/>
        <v>-122723.63533458763</v>
      </c>
      <c r="M143" s="379">
        <f t="shared" si="27"/>
        <v>-129956.46275999778</v>
      </c>
      <c r="N143" s="379">
        <f t="shared" si="27"/>
        <v>-137384.01149885435</v>
      </c>
      <c r="O143" s="379">
        <f t="shared" si="27"/>
        <v>-145012.17856802404</v>
      </c>
      <c r="P143" s="379">
        <f t="shared" si="27"/>
        <v>-152847.0590283343</v>
      </c>
      <c r="Q143" s="379">
        <f t="shared" si="27"/>
        <v>-160894.95314959844</v>
      </c>
      <c r="R143" s="379">
        <f t="shared" si="27"/>
        <v>-169162.37384710528</v>
      </c>
      <c r="S143" s="379">
        <f t="shared" si="27"/>
        <v>-177656.0544001325</v>
      </c>
      <c r="T143" s="379">
        <f t="shared" si="27"/>
        <v>430376.19187568605</v>
      </c>
      <c r="U143" s="379">
        <f t="shared" si="27"/>
        <v>438983.71571319987</v>
      </c>
      <c r="V143" s="379">
        <f t="shared" si="27"/>
        <v>447763.39002746379</v>
      </c>
      <c r="W143" s="379">
        <f t="shared" si="27"/>
        <v>456718.65782801312</v>
      </c>
      <c r="X143" s="379">
        <f t="shared" si="27"/>
        <v>465853.03098457342</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-2147930.9999999995</v>
      </c>
      <c r="E144" s="379">
        <f>E142</f>
        <v>-527859.51814215793</v>
      </c>
      <c r="F144" s="379">
        <f t="shared" ref="F144:AR144" si="28">F142</f>
        <v>-533879.16547667817</v>
      </c>
      <c r="G144" s="379">
        <f t="shared" si="28"/>
        <v>-540057.25086457946</v>
      </c>
      <c r="H144" s="379">
        <f t="shared" si="28"/>
        <v>-546398.46487119677</v>
      </c>
      <c r="I144" s="379">
        <f t="shared" si="28"/>
        <v>-552907.65274534258</v>
      </c>
      <c r="J144" s="379">
        <f t="shared" si="28"/>
        <v>-559589.8199478637</v>
      </c>
      <c r="K144" s="379">
        <f t="shared" si="28"/>
        <v>-566450.1378881631</v>
      </c>
      <c r="L144" s="379">
        <f t="shared" si="28"/>
        <v>-573493.94987674546</v>
      </c>
      <c r="M144" s="379">
        <f t="shared" si="28"/>
        <v>-580726.77730215562</v>
      </c>
      <c r="N144" s="379">
        <f t="shared" si="28"/>
        <v>-588154.32604101219</v>
      </c>
      <c r="O144" s="379">
        <f t="shared" si="28"/>
        <v>-595782.49311018188</v>
      </c>
      <c r="P144" s="379">
        <f t="shared" si="28"/>
        <v>-603617.37357049203</v>
      </c>
      <c r="Q144" s="379">
        <f t="shared" si="28"/>
        <v>-611665.26769175613</v>
      </c>
      <c r="R144" s="379">
        <f t="shared" si="28"/>
        <v>-619932.688389263</v>
      </c>
      <c r="S144" s="379">
        <f t="shared" si="28"/>
        <v>-628426.36894229031</v>
      </c>
      <c r="T144" s="379">
        <f t="shared" si="28"/>
        <v>430376.19187568605</v>
      </c>
      <c r="U144" s="379">
        <f t="shared" si="28"/>
        <v>438983.71571319987</v>
      </c>
      <c r="V144" s="379">
        <f t="shared" si="28"/>
        <v>447763.39002746379</v>
      </c>
      <c r="W144" s="379">
        <f t="shared" si="28"/>
        <v>456718.65782801312</v>
      </c>
      <c r="X144" s="379">
        <f t="shared" si="28"/>
        <v>465853.03098457342</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14850000</v>
      </c>
      <c r="F145" s="379">
        <f t="shared" si="29"/>
        <v>14850000</v>
      </c>
      <c r="G145" s="379">
        <f t="shared" si="29"/>
        <v>14850000</v>
      </c>
      <c r="H145" s="379">
        <f t="shared" si="29"/>
        <v>14850000</v>
      </c>
      <c r="I145" s="379">
        <f t="shared" si="29"/>
        <v>14850000</v>
      </c>
      <c r="J145" s="379">
        <f t="shared" si="29"/>
        <v>14850000</v>
      </c>
      <c r="K145" s="379">
        <f t="shared" si="29"/>
        <v>14850000</v>
      </c>
      <c r="L145" s="379">
        <f t="shared" si="29"/>
        <v>14850000</v>
      </c>
      <c r="M145" s="379">
        <f t="shared" si="29"/>
        <v>14850000</v>
      </c>
      <c r="N145" s="379">
        <f t="shared" si="29"/>
        <v>14850000</v>
      </c>
      <c r="O145" s="379">
        <f t="shared" si="29"/>
        <v>14850000</v>
      </c>
      <c r="P145" s="379">
        <f t="shared" si="29"/>
        <v>14850000</v>
      </c>
      <c r="Q145" s="379">
        <f t="shared" si="29"/>
        <v>14850000</v>
      </c>
      <c r="R145" s="379">
        <f t="shared" si="29"/>
        <v>14850000</v>
      </c>
      <c r="S145" s="379">
        <f t="shared" si="29"/>
        <v>14850000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7159769.9999999991</v>
      </c>
      <c r="E146" s="123">
        <f>IF(E112&lt;=$C76,D146-($C$5*E118+E132+E135),D146-(E132+E135))</f>
        <v>6727858.5599999987</v>
      </c>
      <c r="F146" s="123">
        <f t="shared" ref="F146:AR146" si="30">IF(F112&lt;=$C76,E146-($C$5*F118+F132+F135),E146-(F132+F135))</f>
        <v>6291018.4498183122</v>
      </c>
      <c r="G146" s="123">
        <f t="shared" si="30"/>
        <v>5848950.8586476725</v>
      </c>
      <c r="H146" s="123">
        <f t="shared" si="30"/>
        <v>5401342.9899685206</v>
      </c>
      <c r="I146" s="123">
        <f>IF(I112&lt;=$C76,H146-($C$5*I118+I132+I135),H146-(I132+I135))</f>
        <v>4947867.4614549158</v>
      </c>
      <c r="J146" s="123">
        <f t="shared" si="30"/>
        <v>4488181.6800633688</v>
      </c>
      <c r="K146" s="123">
        <f>IF(K112&lt;=$C76,J146-($C$5*K118+K132+K135),J146-(K132+K135))</f>
        <v>4021927.1912956471</v>
      </c>
      <c r="L146" s="123">
        <f t="shared" si="30"/>
        <v>3548729.0015859278</v>
      </c>
      <c r="M146" s="123">
        <f t="shared" si="30"/>
        <v>3068194.8727203384</v>
      </c>
      <c r="N146" s="123">
        <f t="shared" si="30"/>
        <v>2579914.5871529286</v>
      </c>
      <c r="O146" s="123">
        <f t="shared" si="30"/>
        <v>2083459.1830363153</v>
      </c>
      <c r="P146" s="123">
        <f t="shared" si="30"/>
        <v>1578380.1577376337</v>
      </c>
      <c r="Q146" s="123">
        <f t="shared" si="30"/>
        <v>1064208.6385608867</v>
      </c>
      <c r="R146" s="123">
        <f t="shared" si="30"/>
        <v>540454.51934526325</v>
      </c>
      <c r="S146" s="123">
        <f t="shared" si="30"/>
        <v>6605.5615554058459</v>
      </c>
      <c r="T146" s="123">
        <f t="shared" si="30"/>
        <v>-524723.07038988557</v>
      </c>
      <c r="U146" s="123">
        <f t="shared" si="30"/>
        <v>-1066678.2749740831</v>
      </c>
      <c r="V146" s="123">
        <f t="shared" si="30"/>
        <v>-1619472.5836499643</v>
      </c>
      <c r="W146" s="123">
        <f t="shared" si="30"/>
        <v>-2183322.778499363</v>
      </c>
      <c r="X146" s="123">
        <f t="shared" si="30"/>
        <v>-2758449.9772457499</v>
      </c>
      <c r="Y146" s="123">
        <f t="shared" si="30"/>
        <v>-2758449.9772457499</v>
      </c>
      <c r="Z146" s="123">
        <f t="shared" si="30"/>
        <v>-2758449.9772457499</v>
      </c>
      <c r="AA146" s="123">
        <f>IF(AA112&lt;=$C76,Z146-($C$5*AA118+AA132+AA135),Z146-(AA132+AA135))</f>
        <v>-2758449.9772457499</v>
      </c>
      <c r="AB146" s="123">
        <f t="shared" si="30"/>
        <v>-2758449.9772457499</v>
      </c>
      <c r="AC146" s="123">
        <f t="shared" si="30"/>
        <v>-2758449.9772457499</v>
      </c>
      <c r="AD146" s="123">
        <f t="shared" si="30"/>
        <v>-2758449.9772457499</v>
      </c>
      <c r="AE146" s="123">
        <f>IF(AE112&lt;=$C76,AD146-($C$5*AE118+AE132+AE135),AD146-(AE132+AE135))</f>
        <v>-2758449.9772457499</v>
      </c>
      <c r="AF146" s="123">
        <f t="shared" si="30"/>
        <v>-2758449.9772457499</v>
      </c>
      <c r="AG146" s="123">
        <f>IF(AG112&lt;=$C76,AF146-($C$5*AG118+AG132+AG135),AF146-(AG132+AG135))</f>
        <v>-2758449.9772457499</v>
      </c>
      <c r="AH146" s="123">
        <f t="shared" si="30"/>
        <v>-2758449.9772457499</v>
      </c>
      <c r="AI146" s="123">
        <f t="shared" si="30"/>
        <v>-2758449.9772457499</v>
      </c>
      <c r="AJ146" s="123">
        <f t="shared" si="30"/>
        <v>-2758449.9772457499</v>
      </c>
      <c r="AK146" s="123">
        <f t="shared" si="30"/>
        <v>-2758449.9772457499</v>
      </c>
      <c r="AL146" s="123">
        <f t="shared" si="30"/>
        <v>-2758449.9772457499</v>
      </c>
      <c r="AM146" s="123">
        <f t="shared" si="30"/>
        <v>-2758449.9772457499</v>
      </c>
      <c r="AN146" s="123">
        <f t="shared" si="30"/>
        <v>-2758449.9772457499</v>
      </c>
      <c r="AO146" s="123">
        <f t="shared" si="30"/>
        <v>-2758449.9772457499</v>
      </c>
      <c r="AP146" s="123">
        <f t="shared" si="30"/>
        <v>-2758449.9772457499</v>
      </c>
      <c r="AQ146" s="123">
        <f t="shared" si="30"/>
        <v>-2758449.9772457499</v>
      </c>
      <c r="AR146" s="387">
        <f t="shared" si="30"/>
        <v>-2758449.9772457499</v>
      </c>
    </row>
    <row r="147" spans="1:44" ht="13" thickBot="1" x14ac:dyDescent="0.3">
      <c r="B147" s="124" t="s">
        <v>473</v>
      </c>
      <c r="C147" s="125"/>
      <c r="D147" s="125"/>
      <c r="E147" s="126">
        <f t="shared" ref="E147:AR147" si="31">IF(E112&gt;$C$74,"",(-$C$94*(E139+$C$5*E118)+E132+$C$5*E118)/-E137)</f>
        <v>1.4220374006905681</v>
      </c>
      <c r="F147" s="126">
        <f t="shared" si="31"/>
        <v>1.4086832663558031</v>
      </c>
      <c r="G147" s="126">
        <f t="shared" si="31"/>
        <v>1.3949776491299299</v>
      </c>
      <c r="H147" s="126">
        <f t="shared" si="31"/>
        <v>1.3809101433469504</v>
      </c>
      <c r="I147" s="126">
        <f t="shared" si="31"/>
        <v>1.366470000187219</v>
      </c>
      <c r="J147" s="126">
        <f t="shared" si="31"/>
        <v>1.3516461154127566</v>
      </c>
      <c r="K147" s="126">
        <f t="shared" si="31"/>
        <v>1.3364270166412076</v>
      </c>
      <c r="L147" s="126">
        <f t="shared" si="31"/>
        <v>1.3208008501405659</v>
      </c>
      <c r="M147" s="126">
        <f t="shared" si="31"/>
        <v>1.3047553671261034</v>
      </c>
      <c r="N147" s="126">
        <f t="shared" si="31"/>
        <v>1.2882779095401917</v>
      </c>
      <c r="O147" s="126">
        <f t="shared" si="31"/>
        <v>1.2713553952949546</v>
      </c>
      <c r="P147" s="126">
        <f t="shared" si="31"/>
        <v>1.2539743029569019</v>
      </c>
      <c r="Q147" s="126">
        <f t="shared" si="31"/>
        <v>1.2361206558518607</v>
      </c>
      <c r="R147" s="126">
        <f t="shared" si="31"/>
        <v>1.217780005567682</v>
      </c>
      <c r="S147" s="126">
        <f t="shared" si="31"/>
        <v>1.1989374148313017</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-4609406.6699754894</v>
      </c>
      <c r="D150" s="57" t="s">
        <v>476</v>
      </c>
    </row>
    <row r="151" spans="1:44" x14ac:dyDescent="0.25">
      <c r="B151" s="26" t="s">
        <v>477</v>
      </c>
      <c r="C151" s="153">
        <f>(1-$C$94)*NPV($C$91,E145:AR145)</f>
        <v>113100002.31918178</v>
      </c>
      <c r="D151" s="58" t="str">
        <f>$C$7</f>
        <v>kWh</v>
      </c>
      <c r="F151" s="59"/>
    </row>
    <row r="152" spans="1:44" x14ac:dyDescent="0.25">
      <c r="B152" s="26" t="s">
        <v>478</v>
      </c>
      <c r="C152" s="153">
        <f>$C$41*1000000</f>
        <v>7159769.9999999991</v>
      </c>
      <c r="D152" s="57" t="s">
        <v>424</v>
      </c>
      <c r="F152" s="60"/>
    </row>
    <row r="153" spans="1:44" x14ac:dyDescent="0.25">
      <c r="B153" s="26" t="s">
        <v>479</v>
      </c>
      <c r="C153" s="154">
        <f>AVERAGE(E147:AR147)</f>
        <v>1.3168768995382665</v>
      </c>
      <c r="D153" s="57"/>
      <c r="F153" s="60"/>
    </row>
    <row r="154" spans="1:44" x14ac:dyDescent="0.25">
      <c r="B154" s="26" t="s">
        <v>480</v>
      </c>
      <c r="C154" s="155" t="str">
        <f>CONCATENATE(ROUND(((1-$C$94)*$C$90*$C$92+$C$93*$C$91)*100,1),"% / ",ROUND((((1+(1-$C$94)*$C$90*$C$92+$C$93*$C$91)/(1+$C$89))-1)*100,1),"%")</f>
        <v>4.2% / 2.2%</v>
      </c>
      <c r="D154" s="57"/>
      <c r="F154" s="59"/>
      <c r="G154" s="61"/>
    </row>
    <row r="155" spans="1:44" x14ac:dyDescent="0.25">
      <c r="B155" s="26" t="s">
        <v>481</v>
      </c>
      <c r="C155" s="156">
        <f>IFERROR(IRR(D143:AR143),"n.v.t.")</f>
        <v>-8.7380955720809284E-2</v>
      </c>
      <c r="D155" s="57"/>
      <c r="F155" s="60"/>
      <c r="G155" s="61"/>
    </row>
    <row r="156" spans="1:44" x14ac:dyDescent="0.25">
      <c r="B156" s="26" t="s">
        <v>482</v>
      </c>
      <c r="C156" s="156">
        <f>IFERROR(IRR(D144:AR144),"n.v.t.")</f>
        <v>-0.15119868411639392</v>
      </c>
      <c r="D156" s="57"/>
      <c r="G156" s="61"/>
    </row>
    <row r="157" spans="1:44" x14ac:dyDescent="0.25">
      <c r="B157" s="38" t="s">
        <v>483</v>
      </c>
      <c r="C157" s="153">
        <f>$C$92*C152-C97</f>
        <v>5011838.9999999991</v>
      </c>
      <c r="D157" s="57" t="s">
        <v>424</v>
      </c>
      <c r="F157" s="35"/>
    </row>
    <row r="158" spans="1:44" x14ac:dyDescent="0.25">
      <c r="B158" s="38" t="s">
        <v>484</v>
      </c>
      <c r="C158" s="153">
        <f>$C$93*C152-C98</f>
        <v>2147930.9999999995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3300</v>
      </c>
      <c r="D160" s="57" t="s">
        <v>340</v>
      </c>
      <c r="F160" s="35"/>
    </row>
    <row r="161" spans="2:44" x14ac:dyDescent="0.25">
      <c r="B161" s="43" t="s">
        <v>487</v>
      </c>
      <c r="C161" s="461" t="str">
        <f>CONCATENATE( "tussen ", INDEX(D112:X112, MATCH(0,D146:X146, -1)), " en ",  1 + INDEX(D112:X112, MATCH(0,D146:X146, -1)), " jaar")</f>
        <v>tussen 15 en 16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17" priority="3" operator="containsText" text="Pas op">
      <formula>NOT(ISERROR(SEARCH("Pas op",G1)))</formula>
    </cfRule>
  </conditionalFormatting>
  <conditionalFormatting sqref="G105">
    <cfRule type="containsText" dxfId="16" priority="1" operator="containsText" text="Pas op">
      <formula>NOT(ISERROR(SEARCH("Pas op",G105)))</formula>
    </cfRule>
  </conditionalFormatting>
  <conditionalFormatting sqref="G184:G1048576">
    <cfRule type="containsText" dxfId="15" priority="2" operator="containsText" text="Pas op">
      <formula>NOT(ISERROR(SEARCH("Pas op",G184)))</formula>
    </cfRule>
  </conditionalFormatting>
  <dataValidations count="3">
    <dataValidation type="list" allowBlank="1" showInputMessage="1" showErrorMessage="1" sqref="C14" xr:uid="{5F6308BE-AAA0-40BF-A84F-85C7766600EC}">
      <formula1>"Nee,Ja,Geen warmte"</formula1>
    </dataValidation>
    <dataValidation type="list" allowBlank="1" showInputMessage="1" showErrorMessage="1" sqref="C7" xr:uid="{12325FF9-FD78-48E9-9129-33FBB5F21364}">
      <formula1>"t CO2,kWh"</formula1>
    </dataValidation>
    <dataValidation type="list" allowBlank="1" showInputMessage="1" showErrorMessage="1" sqref="C37361 C102897 C168433 C233969 C299505 C365041 C430577 C496113 C561649 C627185 C692721 C758257 C823793 C889329 C954865" xr:uid="{574B3808-A86D-4C07-B92C-C9F14CD174C2}">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6EDF1B6-2C26-44FB-811A-0A9011304640}">
          <x14:formula1>
            <xm:f>Correcties!$A$8:$A$8</xm:f>
          </x14:formula1>
          <xm:sqref>C15</xm:sqref>
        </x14:dataValidation>
        <x14:dataValidation type="list" allowBlank="1" showInputMessage="1" showErrorMessage="1" xr:uid="{2502455D-5A19-4AB8-8D76-2EB0196208EA}">
          <x14:formula1>
            <xm:f>Correcties!$A$27:$A$38</xm:f>
          </x14:formula1>
          <xm:sqref>C13</xm:sqref>
        </x14:dataValidation>
        <x14:dataValidation type="list" allowBlank="1" showInputMessage="1" showErrorMessage="1" xr:uid="{0DB04647-A2D6-40A3-9401-346B36A8100B}">
          <x14:formula1>
            <xm:f>Colofon!$B$34:$B$39</xm:f>
          </x14:formula1>
          <xm:sqref>C9</xm:sqref>
        </x14:dataValidation>
        <x14:dataValidation type="list" allowBlank="1" showInputMessage="1" showErrorMessage="1" xr:uid="{3B5583A1-B6E3-4D2A-A044-15FC09067D09}">
          <x14:formula1>
            <xm:f>Correcties!$A$10:$A$10</xm:f>
          </x14:formula1>
          <xm:sqref>C16</xm:sqref>
        </x14:dataValidation>
        <x14:dataValidation type="list" allowBlank="1" showInputMessage="1" showErrorMessage="1" xr:uid="{E7702BBF-28C6-4943-984B-F88F34BC6534}">
          <x14:formula1>
            <xm:f>Correcties!$A$4:$A$10</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9904A-F54B-4782-BC94-369F9058C68B}">
  <sheetPr codeName="Sheet2">
    <pageSetUpPr fitToPage="1"/>
  </sheetPr>
  <dimension ref="A1:AA30"/>
  <sheetViews>
    <sheetView showGridLines="0" zoomScaleNormal="100" workbookViewId="0">
      <pane xSplit="2" ySplit="6" topLeftCell="U7" activePane="bottomRight" state="frozen"/>
      <selection pane="topRight"/>
      <selection pane="bottomLeft"/>
      <selection pane="bottomRight" activeCell="V36" sqref="V36"/>
    </sheetView>
  </sheetViews>
  <sheetFormatPr defaultColWidth="9.26953125" defaultRowHeight="15" customHeight="1" x14ac:dyDescent="0.3"/>
  <cols>
    <col min="1" max="1" width="8.7265625" style="9" customWidth="1"/>
    <col min="2" max="2" width="66.81640625" style="88" customWidth="1"/>
    <col min="3" max="3" width="12.453125" style="10" bestFit="1" customWidth="1"/>
    <col min="4" max="4" width="21.54296875" style="10" customWidth="1"/>
    <col min="5" max="5" width="11.26953125" style="11" bestFit="1" customWidth="1"/>
    <col min="6" max="6" width="15.7265625" style="9" customWidth="1"/>
    <col min="7" max="7" width="15.26953125" style="12" customWidth="1"/>
    <col min="8" max="8" width="15.26953125" style="13" customWidth="1"/>
    <col min="9" max="9" width="14.26953125" style="13" customWidth="1"/>
    <col min="10" max="10" width="11.7265625" style="14" customWidth="1"/>
    <col min="11" max="11" width="15.26953125" style="14" customWidth="1"/>
    <col min="12" max="12" width="13.7265625" style="13" customWidth="1"/>
    <col min="13" max="13" width="12.26953125" style="11" customWidth="1"/>
    <col min="14" max="14" width="20.54296875" style="11" customWidth="1"/>
    <col min="15" max="15" width="38.7265625" style="11" bestFit="1" customWidth="1"/>
    <col min="16" max="16" width="13.7265625" style="12" customWidth="1"/>
    <col min="17" max="17" width="12.54296875" style="14" hidden="1" customWidth="1"/>
    <col min="18" max="18" width="11.26953125" style="15" customWidth="1"/>
    <col min="19" max="19" width="11.7265625" style="9" hidden="1" customWidth="1"/>
    <col min="20" max="20" width="11.7265625" style="14" hidden="1" customWidth="1"/>
    <col min="21" max="21" width="28.26953125" style="80" customWidth="1"/>
    <col min="22" max="22" width="21.7265625" style="10" customWidth="1"/>
    <col min="23" max="23" width="25.26953125" style="10" bestFit="1" customWidth="1"/>
    <col min="24" max="24" width="29" style="10" bestFit="1" customWidth="1"/>
    <col min="25" max="25" width="23" style="10" customWidth="1"/>
    <col min="26" max="26" width="42.453125" style="10" bestFit="1" customWidth="1"/>
    <col min="27" max="27" width="13.54296875" style="10" customWidth="1"/>
    <col min="28" max="16384" width="9.26953125" style="10"/>
  </cols>
  <sheetData>
    <row r="1" spans="1:27" ht="90.65" customHeight="1" thickTop="1" x14ac:dyDescent="0.3">
      <c r="A1" s="190" t="s">
        <v>26</v>
      </c>
      <c r="B1" s="191"/>
      <c r="C1" s="192"/>
      <c r="D1" s="192"/>
      <c r="E1" s="193"/>
      <c r="F1" s="198"/>
      <c r="G1" s="194"/>
      <c r="H1" s="195"/>
      <c r="I1" s="195"/>
      <c r="J1" s="196"/>
      <c r="K1" s="196"/>
      <c r="L1" s="195"/>
      <c r="M1" s="193"/>
      <c r="N1" s="193"/>
      <c r="O1" s="193"/>
      <c r="P1" s="194"/>
      <c r="Q1" s="196"/>
      <c r="R1" s="197"/>
      <c r="S1" s="198"/>
      <c r="T1" s="196"/>
      <c r="U1" s="317" t="s">
        <v>27</v>
      </c>
      <c r="V1" s="317" t="s">
        <v>28</v>
      </c>
      <c r="W1" s="317" t="s">
        <v>29</v>
      </c>
      <c r="X1" s="317" t="s">
        <v>30</v>
      </c>
      <c r="Y1" s="335" t="s">
        <v>31</v>
      </c>
      <c r="Z1" s="335" t="s">
        <v>32</v>
      </c>
      <c r="AA1" s="335" t="s">
        <v>33</v>
      </c>
    </row>
    <row r="2" spans="1:27" s="211" customFormat="1" ht="37.5" x14ac:dyDescent="0.25">
      <c r="A2" s="440" t="s">
        <v>34</v>
      </c>
      <c r="B2" s="199" t="s">
        <v>35</v>
      </c>
      <c r="C2" s="200" t="s">
        <v>36</v>
      </c>
      <c r="D2" s="200" t="s">
        <v>19</v>
      </c>
      <c r="E2" s="202" t="s">
        <v>37</v>
      </c>
      <c r="F2" s="201" t="s">
        <v>38</v>
      </c>
      <c r="G2" s="202" t="s">
        <v>39</v>
      </c>
      <c r="H2" s="202" t="s">
        <v>40</v>
      </c>
      <c r="I2" s="202" t="s">
        <v>41</v>
      </c>
      <c r="J2" s="203" t="s">
        <v>42</v>
      </c>
      <c r="K2" s="203" t="s">
        <v>43</v>
      </c>
      <c r="L2" s="203" t="s">
        <v>44</v>
      </c>
      <c r="M2" s="202" t="s">
        <v>45</v>
      </c>
      <c r="N2" s="202" t="s">
        <v>46</v>
      </c>
      <c r="O2" s="202" t="s">
        <v>47</v>
      </c>
      <c r="P2" s="202" t="s">
        <v>48</v>
      </c>
      <c r="Q2" s="203" t="s">
        <v>49</v>
      </c>
      <c r="R2" s="204" t="s">
        <v>50</v>
      </c>
      <c r="S2" s="205" t="s">
        <v>51</v>
      </c>
      <c r="T2" s="203" t="s">
        <v>52</v>
      </c>
      <c r="U2" s="315" t="s">
        <v>53</v>
      </c>
      <c r="V2" s="315"/>
      <c r="W2" s="315"/>
      <c r="X2" s="315"/>
      <c r="Y2" s="315"/>
      <c r="Z2" s="315"/>
      <c r="AA2" s="315"/>
    </row>
    <row r="3" spans="1:27" s="211" customFormat="1" ht="25" x14ac:dyDescent="0.25">
      <c r="A3" s="440"/>
      <c r="B3" s="199"/>
      <c r="C3" s="200"/>
      <c r="D3" s="200"/>
      <c r="E3" s="202"/>
      <c r="F3" s="202" t="s">
        <v>54</v>
      </c>
      <c r="G3" s="202"/>
      <c r="H3" s="202"/>
      <c r="I3" s="202"/>
      <c r="J3" s="203"/>
      <c r="K3" s="203"/>
      <c r="L3" s="203"/>
      <c r="M3" s="202"/>
      <c r="N3" s="202" t="s">
        <v>54</v>
      </c>
      <c r="O3" s="202" t="s">
        <v>54</v>
      </c>
      <c r="P3" s="202" t="s">
        <v>54</v>
      </c>
      <c r="Q3" s="203"/>
      <c r="R3" s="204"/>
      <c r="S3" s="205"/>
      <c r="T3" s="203"/>
      <c r="U3" s="315"/>
      <c r="V3" s="315"/>
      <c r="W3" s="315"/>
      <c r="X3" s="315"/>
      <c r="Y3" s="315"/>
      <c r="Z3" s="315"/>
      <c r="AA3" s="315"/>
    </row>
    <row r="4" spans="1:27" s="211" customFormat="1" ht="15" customHeight="1" x14ac:dyDescent="0.25">
      <c r="A4" s="440"/>
      <c r="B4" s="199" t="s">
        <v>55</v>
      </c>
      <c r="C4" s="200" t="s">
        <v>56</v>
      </c>
      <c r="D4" s="200"/>
      <c r="E4" s="202" t="s">
        <v>57</v>
      </c>
      <c r="F4" s="208" t="s">
        <v>53</v>
      </c>
      <c r="G4" s="202" t="s">
        <v>58</v>
      </c>
      <c r="H4" s="202" t="s">
        <v>57</v>
      </c>
      <c r="I4" s="202" t="s">
        <v>57</v>
      </c>
      <c r="J4" s="203" t="s">
        <v>57</v>
      </c>
      <c r="K4" s="203" t="s">
        <v>57</v>
      </c>
      <c r="L4" s="203" t="s">
        <v>57</v>
      </c>
      <c r="M4" s="202" t="s">
        <v>57</v>
      </c>
      <c r="N4" s="202" t="s">
        <v>57</v>
      </c>
      <c r="O4" s="202" t="s">
        <v>57</v>
      </c>
      <c r="P4" s="202" t="s">
        <v>57</v>
      </c>
      <c r="Q4" s="203" t="s">
        <v>57</v>
      </c>
      <c r="R4" s="206" t="s">
        <v>59</v>
      </c>
      <c r="S4" s="207" t="s">
        <v>60</v>
      </c>
      <c r="T4" s="203" t="s">
        <v>61</v>
      </c>
      <c r="U4" s="315" t="s">
        <v>53</v>
      </c>
      <c r="V4" s="315" t="s">
        <v>53</v>
      </c>
      <c r="W4" s="315" t="s">
        <v>57</v>
      </c>
      <c r="X4" s="315" t="s">
        <v>57</v>
      </c>
      <c r="Y4" s="315" t="s">
        <v>57</v>
      </c>
      <c r="Z4" s="315" t="s">
        <v>57</v>
      </c>
      <c r="AA4" s="315" t="s">
        <v>57</v>
      </c>
    </row>
    <row r="5" spans="1:27" s="212" customFormat="1" ht="15" customHeight="1" x14ac:dyDescent="0.25">
      <c r="A5" s="440"/>
      <c r="B5" s="209" t="s">
        <v>62</v>
      </c>
      <c r="C5" s="201"/>
      <c r="D5" s="201"/>
      <c r="E5" s="201">
        <f>Colofon!$C$31</f>
        <v>3</v>
      </c>
      <c r="F5" s="204"/>
      <c r="G5" s="201">
        <v>4</v>
      </c>
      <c r="H5" s="201"/>
      <c r="I5" s="201">
        <f>Colofon!$C$31</f>
        <v>3</v>
      </c>
      <c r="J5" s="201">
        <f>Colofon!$C$31</f>
        <v>3</v>
      </c>
      <c r="K5" s="201">
        <f>Colofon!$C$31</f>
        <v>3</v>
      </c>
      <c r="L5" s="201">
        <f>Colofon!$C$31</f>
        <v>3</v>
      </c>
      <c r="M5" s="201">
        <f>Colofon!$C$31</f>
        <v>3</v>
      </c>
      <c r="N5" s="201"/>
      <c r="O5" s="201"/>
      <c r="P5" s="201"/>
      <c r="Q5" s="201">
        <f>Colofon!$C$31</f>
        <v>3</v>
      </c>
      <c r="R5" s="206"/>
      <c r="S5" s="206">
        <v>2</v>
      </c>
      <c r="T5" s="201"/>
      <c r="U5" s="316"/>
      <c r="V5" s="316"/>
      <c r="W5" s="316"/>
      <c r="X5" s="316"/>
      <c r="Y5" s="316"/>
      <c r="Z5" s="316"/>
      <c r="AA5" s="316"/>
    </row>
    <row r="6" spans="1:27" s="211" customFormat="1" ht="12.5" x14ac:dyDescent="0.25">
      <c r="A6" s="440"/>
      <c r="B6" s="199" t="s">
        <v>63</v>
      </c>
      <c r="C6" s="200"/>
      <c r="D6" s="200"/>
      <c r="E6" s="202" t="s">
        <v>64</v>
      </c>
      <c r="F6" s="208"/>
      <c r="G6" s="202" t="s">
        <v>65</v>
      </c>
      <c r="H6" s="202" t="s">
        <v>66</v>
      </c>
      <c r="I6" s="202" t="s">
        <v>67</v>
      </c>
      <c r="J6" s="203" t="s">
        <v>68</v>
      </c>
      <c r="K6" s="203" t="s">
        <v>69</v>
      </c>
      <c r="L6" s="202" t="s">
        <v>70</v>
      </c>
      <c r="M6" s="202" t="s">
        <v>71</v>
      </c>
      <c r="N6" s="208"/>
      <c r="O6" s="208"/>
      <c r="P6" s="210"/>
      <c r="Q6" s="203"/>
      <c r="R6" s="206"/>
      <c r="S6" s="207"/>
      <c r="T6" s="203"/>
      <c r="U6" s="315"/>
      <c r="V6" s="315"/>
      <c r="W6" s="315"/>
      <c r="X6" s="315"/>
      <c r="Y6" s="315"/>
      <c r="Z6" s="315"/>
      <c r="AA6" s="315"/>
    </row>
    <row r="7" spans="1:27" s="295" customFormat="1" ht="12" customHeight="1" x14ac:dyDescent="0.25">
      <c r="A7" s="288"/>
      <c r="B7" s="289" t="s">
        <v>72</v>
      </c>
      <c r="C7" s="290"/>
      <c r="D7" s="290"/>
      <c r="E7" s="290"/>
      <c r="F7" s="291"/>
      <c r="G7" s="290"/>
      <c r="H7" s="292"/>
      <c r="I7" s="292"/>
      <c r="J7" s="290"/>
      <c r="K7" s="290"/>
      <c r="L7" s="292"/>
      <c r="M7" s="290"/>
      <c r="N7" s="290"/>
      <c r="O7" s="290"/>
      <c r="P7" s="290"/>
      <c r="Q7" s="290"/>
      <c r="R7" s="293"/>
      <c r="S7" s="294"/>
      <c r="T7" s="291"/>
    </row>
    <row r="8" spans="1:27" s="213" customFormat="1" ht="12" customHeight="1" x14ac:dyDescent="0.3">
      <c r="A8" s="92">
        <v>1</v>
      </c>
      <c r="B8" s="91" t="str">
        <f t="shared" ref="B8:B18" ca="1" si="0">INDIRECT(CONCATENATE("'",A8,"'!A2"))</f>
        <v>Zon-pv 15 – 100 kWp (kva, referentie 60 kWp, net 70%)</v>
      </c>
      <c r="C8" s="6" t="str">
        <f ca="1">INDIRECT(CONCATENATE("'",$A8,"'!$C$7"))</f>
        <v>kWh</v>
      </c>
      <c r="D8" s="6" t="str">
        <f ca="1">INDIRECT(CONCATENATE("'",$A8,"'!$C$9"))</f>
        <v>Elektriciteit</v>
      </c>
      <c r="E8" s="314">
        <f ca="1">ROUND(INDIRECT(CONCATENATE("'",$A8,"'!$C$5")),E$5)</f>
        <v>0.127</v>
      </c>
      <c r="F8" s="425" t="str">
        <f ca="1">IF(AND(INDIRECT(CONCATENATE("'",$A8,"'!$C$15"))&gt;0,INDIRECT(CONCATENATE("'",$A8,"'!$C$16"))&gt;0),INDIRECT(CONCATENATE("'",$A8,"'!$C$15"))&amp;" / "&amp;INDIRECT(CONCATENATE("'",$A8,"'!$C$16")),INDIRECT(CONCATENATE("'",$A8,"'!$C$12")))</f>
        <v>6.1 / 7.1</v>
      </c>
      <c r="G8" s="6">
        <f ca="1">ROUND(INDIRECT(CONCATENATE("'",$A8,"'!$C$70")),G$5)</f>
        <v>4.8000000000000001E-2</v>
      </c>
      <c r="H8" s="8">
        <f ca="1">SUM(I8:L8)</f>
        <v>5.5999999999999994E-2</v>
      </c>
      <c r="I8" s="336">
        <f ca="1">ROUND(INDIRECT(CONCATENATE("'",$A8,"'!$C$173")),I$5)</f>
        <v>5.1999999999999998E-2</v>
      </c>
      <c r="J8" s="314">
        <f ca="1">ROUND(INDIRECT(CONCATENATE("'",$A8,"'!$C$178")),J$5)</f>
        <v>4.0000000000000001E-3</v>
      </c>
      <c r="K8" s="314">
        <v>0</v>
      </c>
      <c r="L8" s="8">
        <f ca="1">ROUND(INDIRECT(CONCATENATE("'",$A8,"'!$C$172")),L$5)</f>
        <v>0</v>
      </c>
      <c r="M8" s="314">
        <f ca="1">E8*G8/1000+H8</f>
        <v>5.6006095999999991E-2</v>
      </c>
      <c r="N8" s="314" t="str">
        <f ca="1">INDIRECT(CONCATENATE("'",$A8,"'!$C$165"))</f>
        <v>0,035 / 0,092</v>
      </c>
      <c r="O8" s="6" t="str">
        <f ca="1">INDIRECT(CONCATENATE("'",$A8,"'!$C$169"))</f>
        <v>netlevering: 0,043, niet-netlevering: 0,107</v>
      </c>
      <c r="P8" s="6" t="str">
        <f t="shared" ref="P8:P14" ca="1" si="1">INDIRECT(CONCATENATE("'",$A8,"'!$C$170"))</f>
        <v>netlevering: 0,004, niet-netlevering: 0</v>
      </c>
      <c r="Q8" s="6">
        <f ca="1">ROUND(INDIRECT(CONCATENATE("'",$A8,"'!$C$171")),Q$5)</f>
        <v>0</v>
      </c>
      <c r="R8" s="89">
        <f t="shared" ref="R8:R14" ca="1" si="2">ROUND(INDIRECT(CONCATENATE("'",$A8,"'!$C$160")),R$5)</f>
        <v>900</v>
      </c>
      <c r="S8" s="90">
        <f ca="1">ROUND(INDIRECT(CONCATENATE("'",$A8,"'!$C$158")),S$5)</f>
        <v>12270</v>
      </c>
      <c r="T8" s="7">
        <f ca="1">INDIRECT(CONCATENATE("'",$A8,"'!$C$13"))</f>
        <v>0</v>
      </c>
      <c r="U8" s="429" t="str">
        <f ca="1">INDIRECT(CONCATENATE("'",$A8,"'!$C$15"))</f>
        <v>6.1</v>
      </c>
      <c r="V8" s="429" t="str">
        <f ca="1">INDIRECT(CONCATENATE("'",$A8,"'!$C$16"))</f>
        <v>7.1</v>
      </c>
      <c r="W8" s="324">
        <f ca="1">INDIRECT(CONCATENATE("'",$A8,"'!$C$173"))</f>
        <v>5.1999999999999998E-2</v>
      </c>
      <c r="X8" s="324">
        <f ca="1">INDIRECT(CONCATENATE("'",$A8,"'!$C$174"))</f>
        <v>0.109</v>
      </c>
      <c r="Y8" s="332" t="str">
        <f t="shared" ref="Y8:Y14" ca="1" si="3">INDIRECT(CONCATENATE("'",$A8,"'!$C$169"))</f>
        <v>netlevering: 0,043, niet-netlevering: 0,107</v>
      </c>
      <c r="Z8" s="324" t="str">
        <f ca="1">INDIRECT(CONCATENATE("'",$A8,"'!$C$175"))</f>
        <v>netlevering: 0.047, niet-netlevering: 0.107</v>
      </c>
      <c r="AA8" s="411">
        <f t="shared" ref="AA8:AA14" ca="1" si="4">INDIRECT(CONCATENATE("'",$A8,"'!$C$167"))</f>
        <v>9.1999999999999998E-2</v>
      </c>
    </row>
    <row r="9" spans="1:27" s="213" customFormat="1" ht="12" customHeight="1" x14ac:dyDescent="0.3">
      <c r="A9" s="92">
        <v>2</v>
      </c>
      <c r="B9" s="91" t="str">
        <f t="shared" ca="1" si="0"/>
        <v>Zon-pv 15 – 500 kWp (gva, referentie 150 kWp, net 50%)</v>
      </c>
      <c r="C9" s="6" t="str">
        <f t="shared" ref="C9:C22" ca="1" si="5">INDIRECT(CONCATENATE("'",$A9,"'!$C$7"))</f>
        <v>kWh</v>
      </c>
      <c r="D9" s="6" t="str">
        <f t="shared" ref="D9:D22" ca="1" si="6">INDIRECT(CONCATENATE("'",$A9,"'!$C$9"))</f>
        <v>Elektriciteit</v>
      </c>
      <c r="E9" s="314">
        <f t="shared" ref="E9:E22" ca="1" si="7">ROUND(INDIRECT(CONCATENATE("'",$A9,"'!$C$5")),E$5)</f>
        <v>0.13500000000000001</v>
      </c>
      <c r="F9" s="425" t="str">
        <f t="shared" ref="F9:F22" ca="1" si="8">IF(AND(INDIRECT(CONCATENATE("'",$A9,"'!$C$15"))&gt;0,INDIRECT(CONCATENATE("'",$A9,"'!$C$16"))&gt;0),INDIRECT(CONCATENATE("'",$A9,"'!$C$15"))&amp;" / "&amp;INDIRECT(CONCATENATE("'",$A9,"'!$C$16")),INDIRECT(CONCATENATE("'",$A9,"'!$C$12")))</f>
        <v>6.3 / 7.3</v>
      </c>
      <c r="G9" s="6">
        <f t="shared" ref="G9:G22" ca="1" si="9">ROUND(INDIRECT(CONCATENATE("'",$A9,"'!$C$70")),G$5)</f>
        <v>4.8000000000000001E-2</v>
      </c>
      <c r="H9" s="8">
        <f t="shared" ref="H9:H22" ca="1" si="10">SUM(I9:L9)</f>
        <v>5.5999999999999994E-2</v>
      </c>
      <c r="I9" s="336">
        <f ca="1">ROUND(INDIRECT(CONCATENATE("'",$A9,"'!$C$173")),I$5)</f>
        <v>5.1999999999999998E-2</v>
      </c>
      <c r="J9" s="314">
        <f t="shared" ref="J9:J14" ca="1" si="11">ROUND(INDIRECT(CONCATENATE("'",$A9,"'!$C$178")),J$5)</f>
        <v>4.0000000000000001E-3</v>
      </c>
      <c r="K9" s="314">
        <v>0</v>
      </c>
      <c r="L9" s="8">
        <f t="shared" ref="L9:L22" ca="1" si="12">ROUND(INDIRECT(CONCATENATE("'",$A9,"'!$C$172")),L$5)</f>
        <v>0</v>
      </c>
      <c r="M9" s="314">
        <f t="shared" ref="M9:M14" ca="1" si="13">E9*G9/1000+H9</f>
        <v>5.6006479999999997E-2</v>
      </c>
      <c r="N9" s="314" t="str">
        <f t="shared" ref="N9:N14" ca="1" si="14">INDIRECT(CONCATENATE("'",$A9,"'!$C$165"))</f>
        <v>0.035 / 0.092</v>
      </c>
      <c r="O9" s="6" t="str">
        <f t="shared" ref="O9:O14" ca="1" si="15">INDIRECT(CONCATENATE("'",$A9,"'!$C$169"))</f>
        <v>netlevering: 0.053, niet-netlevering: 0.11</v>
      </c>
      <c r="P9" s="6" t="str">
        <f t="shared" ca="1" si="1"/>
        <v>netlevering: 0.004, niet-netlevering: 0</v>
      </c>
      <c r="Q9" s="6">
        <f t="shared" ref="Q9:Q22" ca="1" si="16">ROUND(INDIRECT(CONCATENATE("'",$A9,"'!$C$171")),Q$5)</f>
        <v>0</v>
      </c>
      <c r="R9" s="89">
        <f t="shared" ca="1" si="2"/>
        <v>730</v>
      </c>
      <c r="S9" s="90">
        <f t="shared" ref="S9:S22" ca="1" si="17">ROUND(INDIRECT(CONCATENATE("'",$A9,"'!$C$158")),S$5)</f>
        <v>26625</v>
      </c>
      <c r="T9" s="7">
        <f t="shared" ref="T9:T22" ca="1" si="18">INDIRECT(CONCATENATE("'",$A9,"'!$C$13"))</f>
        <v>0</v>
      </c>
      <c r="U9" s="429">
        <f ca="1">INDIRECT(CONCATENATE("'",$A9,"'!$C$15"))</f>
        <v>6.3</v>
      </c>
      <c r="V9" s="429" t="str">
        <f t="shared" ref="V9:V13" ca="1" si="19">INDIRECT(CONCATENATE("'",$A9,"'!$C$16"))</f>
        <v>7.3</v>
      </c>
      <c r="W9" s="324">
        <f t="shared" ref="W9:W13" ca="1" si="20">INDIRECT(CONCATENATE("'",$A9,"'!$C$173"))</f>
        <v>5.1999999999999998E-2</v>
      </c>
      <c r="X9" s="324">
        <f t="shared" ref="X9:X30" ca="1" si="21">INDIRECT(CONCATENATE("'",$A9,"'!$C$174"))</f>
        <v>0.109</v>
      </c>
      <c r="Y9" s="332" t="str">
        <f t="shared" ca="1" si="3"/>
        <v>netlevering: 0.053, niet-netlevering: 0.11</v>
      </c>
      <c r="Z9" s="324" t="str">
        <f t="shared" ref="Z9:Z30" ca="1" si="22">INDIRECT(CONCATENATE("'",$A9,"'!$C$175"))</f>
        <v>netlevering: 0.057, niet-netlevering: 0.11</v>
      </c>
      <c r="AA9" s="411">
        <f t="shared" ca="1" si="4"/>
        <v>9.1999999999999998E-2</v>
      </c>
    </row>
    <row r="10" spans="1:27" s="213" customFormat="1" ht="12" customHeight="1" x14ac:dyDescent="0.3">
      <c r="A10" s="92">
        <v>3</v>
      </c>
      <c r="B10" s="91" t="str">
        <f t="shared" ca="1" si="0"/>
        <v>Zon-pv gebouwgebonden 500 kWp - 6 MWp (gva, referentie 2,5 MWp, net 50%)</v>
      </c>
      <c r="C10" s="6" t="str">
        <f t="shared" ca="1" si="5"/>
        <v>kWh</v>
      </c>
      <c r="D10" s="6" t="str">
        <f t="shared" ca="1" si="6"/>
        <v>Elektriciteit</v>
      </c>
      <c r="E10" s="314">
        <f t="shared" ca="1" si="7"/>
        <v>9.7000000000000003E-2</v>
      </c>
      <c r="F10" s="425" t="str">
        <f t="shared" ca="1" si="8"/>
        <v>6.3 / 8.3</v>
      </c>
      <c r="G10" s="6">
        <f t="shared" ca="1" si="9"/>
        <v>4.8000000000000001E-2</v>
      </c>
      <c r="H10" s="8">
        <f t="shared" ca="1" si="10"/>
        <v>5.5999999999999994E-2</v>
      </c>
      <c r="I10" s="336">
        <f t="shared" ref="I10:I14" ca="1" si="23">ROUND(INDIRECT(CONCATENATE("'",$A10,"'!$C$173")),I$5)</f>
        <v>5.1999999999999998E-2</v>
      </c>
      <c r="J10" s="314">
        <f t="shared" ca="1" si="11"/>
        <v>4.0000000000000001E-3</v>
      </c>
      <c r="K10" s="314">
        <v>0</v>
      </c>
      <c r="L10" s="8">
        <f t="shared" ca="1" si="12"/>
        <v>0</v>
      </c>
      <c r="M10" s="314">
        <f t="shared" ca="1" si="13"/>
        <v>5.6004655999999993E-2</v>
      </c>
      <c r="N10" s="314" t="str">
        <f t="shared" ca="1" si="14"/>
        <v>0.035 / 0.074</v>
      </c>
      <c r="O10" s="6" t="str">
        <f t="shared" ca="1" si="15"/>
        <v>netlevering: 0.053, niet-netlevering: 0.093</v>
      </c>
      <c r="P10" s="6" t="str">
        <f t="shared" ca="1" si="1"/>
        <v>netlevering: 0.004, niet-netlevering: 0</v>
      </c>
      <c r="Q10" s="6">
        <f t="shared" ca="1" si="16"/>
        <v>0</v>
      </c>
      <c r="R10" s="89">
        <f t="shared" ca="1" si="2"/>
        <v>730</v>
      </c>
      <c r="S10" s="90">
        <f t="shared" ca="1" si="17"/>
        <v>306657.81</v>
      </c>
      <c r="T10" s="7">
        <f t="shared" ca="1" si="18"/>
        <v>0</v>
      </c>
      <c r="U10" s="429">
        <f t="shared" ref="U10:U13" ca="1" si="24">INDIRECT(CONCATENATE("'",$A10,"'!$C$15"))</f>
        <v>6.3</v>
      </c>
      <c r="V10" s="429">
        <f t="shared" ca="1" si="19"/>
        <v>8.3000000000000007</v>
      </c>
      <c r="W10" s="324">
        <f t="shared" ca="1" si="20"/>
        <v>5.1999999999999998E-2</v>
      </c>
      <c r="X10" s="324">
        <f t="shared" ca="1" si="21"/>
        <v>9.0999999999999998E-2</v>
      </c>
      <c r="Y10" s="332" t="str">
        <f t="shared" ca="1" si="3"/>
        <v>netlevering: 0.053, niet-netlevering: 0.093</v>
      </c>
      <c r="Z10" s="324" t="str">
        <f t="shared" ca="1" si="22"/>
        <v>netlevering: 0.057, niet-netlevering: 0.093</v>
      </c>
      <c r="AA10" s="411">
        <f t="shared" ca="1" si="4"/>
        <v>7.3999999999999996E-2</v>
      </c>
    </row>
    <row r="11" spans="1:27" s="213" customFormat="1" ht="12" customHeight="1" x14ac:dyDescent="0.3">
      <c r="A11" s="92">
        <v>4</v>
      </c>
      <c r="B11" s="91" t="str">
        <f t="shared" ca="1" si="0"/>
        <v>Zon-pv grondgebonden 500 kWp - 6 MWp (gva, referentie 10 MWp, net 50%)</v>
      </c>
      <c r="C11" s="6" t="str">
        <f t="shared" ca="1" si="5"/>
        <v>kWh</v>
      </c>
      <c r="D11" s="6" t="str">
        <f t="shared" ca="1" si="6"/>
        <v>Elektriciteit</v>
      </c>
      <c r="E11" s="314">
        <f t="shared" ca="1" si="7"/>
        <v>-0.77500000000000002</v>
      </c>
      <c r="F11" s="425" t="str">
        <f t="shared" ca="1" si="8"/>
        <v>6.3 / 8.3</v>
      </c>
      <c r="G11" s="6">
        <f t="shared" ca="1" si="9"/>
        <v>6.2899999999999998E-2</v>
      </c>
      <c r="H11" s="8">
        <f t="shared" ca="1" si="10"/>
        <v>5.5999999999999994E-2</v>
      </c>
      <c r="I11" s="336">
        <f t="shared" ca="1" si="23"/>
        <v>5.1999999999999998E-2</v>
      </c>
      <c r="J11" s="314">
        <f t="shared" ca="1" si="11"/>
        <v>4.0000000000000001E-3</v>
      </c>
      <c r="K11" s="314">
        <v>0</v>
      </c>
      <c r="L11" s="8">
        <f t="shared" ca="1" si="12"/>
        <v>0</v>
      </c>
      <c r="M11" s="314">
        <f t="shared" ca="1" si="13"/>
        <v>5.5951252499999993E-2</v>
      </c>
      <c r="N11" s="314" t="str">
        <f t="shared" ca="1" si="14"/>
        <v>0.035 / 0.074</v>
      </c>
      <c r="O11" s="6" t="str">
        <f t="shared" ca="1" si="15"/>
        <v>netlevering: 0.053, niet-netlevering: 0.093</v>
      </c>
      <c r="P11" s="6" t="str">
        <f t="shared" ca="1" si="1"/>
        <v>netlevering: 0.004, niet-netlevering: 0</v>
      </c>
      <c r="Q11" s="6">
        <f t="shared" ca="1" si="16"/>
        <v>0</v>
      </c>
      <c r="R11" s="89">
        <f t="shared" ca="1" si="2"/>
        <v>740</v>
      </c>
      <c r="S11" s="90">
        <f t="shared" ca="1" si="17"/>
        <v>1130918.75</v>
      </c>
      <c r="T11" s="7">
        <f t="shared" ca="1" si="18"/>
        <v>0</v>
      </c>
      <c r="U11" s="429">
        <f t="shared" ca="1" si="24"/>
        <v>6.3</v>
      </c>
      <c r="V11" s="429">
        <f t="shared" ca="1" si="19"/>
        <v>8.3000000000000007</v>
      </c>
      <c r="W11" s="324">
        <f t="shared" ca="1" si="20"/>
        <v>5.1999999999999998E-2</v>
      </c>
      <c r="X11" s="324">
        <f t="shared" ca="1" si="21"/>
        <v>9.0999999999999998E-2</v>
      </c>
      <c r="Y11" s="332" t="str">
        <f t="shared" ca="1" si="3"/>
        <v>netlevering: 0.053, niet-netlevering: 0.093</v>
      </c>
      <c r="Z11" s="324" t="str">
        <f t="shared" ca="1" si="22"/>
        <v>netlevering: 0.057, niet-netlevering: 0.093</v>
      </c>
      <c r="AA11" s="411">
        <f t="shared" ca="1" si="4"/>
        <v>7.3999999999999996E-2</v>
      </c>
    </row>
    <row r="12" spans="1:27" s="213" customFormat="1" ht="12" customHeight="1" x14ac:dyDescent="0.35">
      <c r="A12" s="415">
        <v>5</v>
      </c>
      <c r="B12" s="390" t="str">
        <f ca="1">INDIRECT(CONCATENATE("'",A12,"'!A2"))</f>
        <v>Zon-pv grondgebonden natuurinclusief 500 kWp - 6 MWp (gva, referentie 10 MWp, net 50%)</v>
      </c>
      <c r="C12" s="391" t="str">
        <f ca="1">INDIRECT(CONCATENATE("'",$A12,"'!$C$7"))</f>
        <v>kWh</v>
      </c>
      <c r="D12" s="391" t="str">
        <f ca="1">INDIRECT(CONCATENATE("'",$A12,"'!$C$9"))</f>
        <v>Elektriciteit</v>
      </c>
      <c r="E12" s="393">
        <f ca="1">ROUND(INDIRECT(CONCATENATE("'",$A12,"'!$C$5")),E$5)</f>
        <v>8.6999999999999994E-2</v>
      </c>
      <c r="F12" s="426" t="str">
        <f ca="1">IF(AND(INDIRECT(CONCATENATE("'",$A12,"'!$C$15"))&gt;0,INDIRECT(CONCATENATE("'",$A12,"'!$C$16"))&gt;0),INDIRECT(CONCATENATE("'",$A12,"'!$C$15"))&amp;" / "&amp;INDIRECT(CONCATENATE("'",$A12,"'!$C$16")),INDIRECT(CONCATENATE("'",$A12,"'!$C$12")))</f>
        <v>6.3 / 8.3</v>
      </c>
      <c r="G12" s="391">
        <f ca="1">ROUND(INDIRECT(CONCATENATE("'",$A12,"'!$C$70")),G$5)</f>
        <v>6.2899999999999998E-2</v>
      </c>
      <c r="H12" s="8">
        <f ca="1">SUM(I12:L12)</f>
        <v>5.5999999999999994E-2</v>
      </c>
      <c r="I12" s="336">
        <f t="shared" ca="1" si="23"/>
        <v>5.1999999999999998E-2</v>
      </c>
      <c r="J12" s="314">
        <f t="shared" ca="1" si="11"/>
        <v>4.0000000000000001E-3</v>
      </c>
      <c r="K12" s="314">
        <v>0</v>
      </c>
      <c r="L12" s="8">
        <f ca="1">ROUND(INDIRECT(CONCATENATE("'",$A12,"'!$C$172")),L$5)</f>
        <v>0</v>
      </c>
      <c r="M12" s="314">
        <f t="shared" ca="1" si="13"/>
        <v>5.6005472299999998E-2</v>
      </c>
      <c r="N12" s="393" t="str">
        <f t="shared" ca="1" si="14"/>
        <v>0.035 / 0.074</v>
      </c>
      <c r="O12" s="6" t="str">
        <f t="shared" ca="1" si="15"/>
        <v>netlevering: 0.053, niet-netlevering: 0.093</v>
      </c>
      <c r="P12" s="391" t="str">
        <f t="shared" ca="1" si="1"/>
        <v>netlevering: 0.004, niet-netlevering: 0</v>
      </c>
      <c r="Q12" s="391">
        <f ca="1">ROUND(INDIRECT(CONCATENATE("'",$A12,"'!$C$171")),Q$5)</f>
        <v>0</v>
      </c>
      <c r="R12" s="89">
        <f t="shared" ca="1" si="2"/>
        <v>740</v>
      </c>
      <c r="S12" s="90">
        <f ca="1">ROUND(INDIRECT(CONCATENATE("'",$A12,"'!$C$158")),S$5)</f>
        <v>1146031.25</v>
      </c>
      <c r="T12" s="392">
        <f ca="1">INDIRECT(CONCATENATE("'",$A12,"'!$C$13"))</f>
        <v>0</v>
      </c>
      <c r="U12" s="430">
        <f ca="1">INDIRECT(CONCATENATE("'",$A12,"'!$C$15"))</f>
        <v>6.3</v>
      </c>
      <c r="V12" s="430">
        <f ca="1">INDIRECT(CONCATENATE("'",$A12,"'!$C$16"))</f>
        <v>8.3000000000000007</v>
      </c>
      <c r="W12" s="332">
        <f ca="1">INDIRECT(CONCATENATE("'",$A12,"'!$C$173"))</f>
        <v>5.1999999999999998E-2</v>
      </c>
      <c r="X12" s="332">
        <f ca="1">INDIRECT(CONCATENATE("'",$A12,"'!$C$174"))</f>
        <v>9.0999999999999998E-2</v>
      </c>
      <c r="Y12" s="332" t="str">
        <f t="shared" ca="1" si="3"/>
        <v>netlevering: 0.053, niet-netlevering: 0.093</v>
      </c>
      <c r="Z12" s="332" t="str">
        <f ca="1">INDIRECT(CONCATENATE("'",$A12,"'!$C$175"))</f>
        <v>netlevering: 0.057, niet-netlevering: 0.093</v>
      </c>
      <c r="AA12" s="411">
        <f t="shared" ca="1" si="4"/>
        <v>7.3999999999999996E-2</v>
      </c>
    </row>
    <row r="13" spans="1:27" s="213" customFormat="1" ht="12" customHeight="1" x14ac:dyDescent="0.35">
      <c r="A13" s="416">
        <v>6</v>
      </c>
      <c r="B13" s="91" t="str">
        <f t="shared" ca="1" si="0"/>
        <v>Zon-pv drijvend op water 500 kWp - 6 MWp (gva, referentie 10 MWp, net 50%)</v>
      </c>
      <c r="C13" s="6" t="str">
        <f t="shared" ca="1" si="5"/>
        <v>kWh</v>
      </c>
      <c r="D13" s="6" t="str">
        <f t="shared" ca="1" si="6"/>
        <v>Elektriciteit</v>
      </c>
      <c r="E13" s="314">
        <f t="shared" ca="1" si="7"/>
        <v>9.2999999999999999E-2</v>
      </c>
      <c r="F13" s="425" t="str">
        <f t="shared" ca="1" si="8"/>
        <v>6.3 / 8.3</v>
      </c>
      <c r="G13" s="6">
        <f t="shared" ca="1" si="9"/>
        <v>6.2899999999999998E-2</v>
      </c>
      <c r="H13" s="8">
        <f t="shared" ca="1" si="10"/>
        <v>5.5999999999999994E-2</v>
      </c>
      <c r="I13" s="336">
        <f t="shared" ca="1" si="23"/>
        <v>5.1999999999999998E-2</v>
      </c>
      <c r="J13" s="314">
        <f t="shared" ca="1" si="11"/>
        <v>4.0000000000000001E-3</v>
      </c>
      <c r="K13" s="314">
        <v>0</v>
      </c>
      <c r="L13" s="8">
        <f t="shared" ca="1" si="12"/>
        <v>0</v>
      </c>
      <c r="M13" s="314">
        <f t="shared" ca="1" si="13"/>
        <v>5.6005849699999992E-2</v>
      </c>
      <c r="N13" s="314" t="str">
        <f t="shared" ca="1" si="14"/>
        <v>0.035 / 0.074</v>
      </c>
      <c r="O13" s="6" t="str">
        <f t="shared" ca="1" si="15"/>
        <v>netlevering: 0.053, niet-netlevering: 0.093</v>
      </c>
      <c r="P13" s="6" t="str">
        <f t="shared" ca="1" si="1"/>
        <v>netlevering: 0.004, niet-netlevering: 0</v>
      </c>
      <c r="Q13" s="6">
        <f t="shared" ca="1" si="16"/>
        <v>0</v>
      </c>
      <c r="R13" s="89">
        <f t="shared" ca="1" si="2"/>
        <v>740</v>
      </c>
      <c r="S13" s="90">
        <f t="shared" ca="1" si="17"/>
        <v>1297156.25</v>
      </c>
      <c r="T13" s="7">
        <f t="shared" ca="1" si="18"/>
        <v>0</v>
      </c>
      <c r="U13" s="429">
        <f t="shared" ca="1" si="24"/>
        <v>6.3</v>
      </c>
      <c r="V13" s="429">
        <f t="shared" ca="1" si="19"/>
        <v>8.3000000000000007</v>
      </c>
      <c r="W13" s="324">
        <f t="shared" ca="1" si="20"/>
        <v>5.1999999999999998E-2</v>
      </c>
      <c r="X13" s="324">
        <f t="shared" ca="1" si="21"/>
        <v>9.0999999999999998E-2</v>
      </c>
      <c r="Y13" s="332" t="str">
        <f t="shared" ca="1" si="3"/>
        <v>netlevering: 0.053, niet-netlevering: 0.093</v>
      </c>
      <c r="Z13" s="324" t="str">
        <f t="shared" ca="1" si="22"/>
        <v>netlevering: 0.057, niet-netlevering: 0.093</v>
      </c>
      <c r="AA13" s="411">
        <f t="shared" ca="1" si="4"/>
        <v>7.3999999999999996E-2</v>
      </c>
    </row>
    <row r="14" spans="1:27" s="213" customFormat="1" ht="12" customHeight="1" x14ac:dyDescent="0.35">
      <c r="A14" s="415">
        <v>7</v>
      </c>
      <c r="B14" s="390" t="str">
        <f ca="1">INDIRECT(CONCATENATE("'",A14,"'!A2"))</f>
        <v>Zon-pv drijvend op water natuurinclusief 500 kWp - 6 MWp (gva, referentie 10 MWp, net 50%)</v>
      </c>
      <c r="C14" s="391" t="str">
        <f ca="1">INDIRECT(CONCATENATE("'",$A14,"'!$C$7"))</f>
        <v>kWh</v>
      </c>
      <c r="D14" s="391" t="str">
        <f ca="1">INDIRECT(CONCATENATE("'",$A14,"'!$C$9"))</f>
        <v>Elektriciteit</v>
      </c>
      <c r="E14" s="393">
        <f ca="1">ROUND(INDIRECT(CONCATENATE("'",$A14,"'!$C$5")),E$5)</f>
        <v>9.5000000000000001E-2</v>
      </c>
      <c r="F14" s="426" t="str">
        <f ca="1">IF(AND(INDIRECT(CONCATENATE("'",$A14,"'!$C$15"))&gt;0,INDIRECT(CONCATENATE("'",$A14,"'!$C$16"))&gt;0),INDIRECT(CONCATENATE("'",$A14,"'!$C$15"))&amp;" / "&amp;INDIRECT(CONCATENATE("'",$A14,"'!$C$16")),INDIRECT(CONCATENATE("'",$A14,"'!$C$12")))</f>
        <v>6.3 / 8.3</v>
      </c>
      <c r="G14" s="391">
        <f ca="1">ROUND(INDIRECT(CONCATENATE("'",$A14,"'!$C$70")),G$5)</f>
        <v>6.2899999999999998E-2</v>
      </c>
      <c r="H14" s="8">
        <f ca="1">SUM(I14:L14)</f>
        <v>5.5999999999999994E-2</v>
      </c>
      <c r="I14" s="336">
        <f t="shared" ca="1" si="23"/>
        <v>5.1999999999999998E-2</v>
      </c>
      <c r="J14" s="314">
        <f t="shared" ca="1" si="11"/>
        <v>4.0000000000000001E-3</v>
      </c>
      <c r="K14" s="314">
        <v>0</v>
      </c>
      <c r="L14" s="8">
        <f ca="1">ROUND(INDIRECT(CONCATENATE("'",$A14,"'!$C$172")),L$5)</f>
        <v>0</v>
      </c>
      <c r="M14" s="314">
        <f t="shared" ca="1" si="13"/>
        <v>5.6005975499999992E-2</v>
      </c>
      <c r="N14" s="393" t="str">
        <f t="shared" ca="1" si="14"/>
        <v>0.035 / 0.074</v>
      </c>
      <c r="O14" s="6" t="str">
        <f t="shared" ca="1" si="15"/>
        <v>netlevering: 0.053, niet-netlevering: 0.093</v>
      </c>
      <c r="P14" s="391" t="str">
        <f t="shared" ca="1" si="1"/>
        <v>netlevering: 0.004, niet-netlevering: 0</v>
      </c>
      <c r="Q14" s="391">
        <f ca="1">ROUND(INDIRECT(CONCATENATE("'",$A14,"'!$C$171")),Q$5)</f>
        <v>0</v>
      </c>
      <c r="R14" s="89">
        <f t="shared" ca="1" si="2"/>
        <v>740</v>
      </c>
      <c r="S14" s="90">
        <f ca="1">ROUND(INDIRECT(CONCATENATE("'",$A14,"'!$C$158")),S$5)</f>
        <v>1299675</v>
      </c>
      <c r="T14" s="392">
        <f ca="1">INDIRECT(CONCATENATE("'",$A14,"'!$C$13"))</f>
        <v>0</v>
      </c>
      <c r="U14" s="430">
        <f ca="1">INDIRECT(CONCATENATE("'",$A14,"'!$C$15"))</f>
        <v>6.3</v>
      </c>
      <c r="V14" s="430">
        <f ca="1">INDIRECT(CONCATENATE("'",$A14,"'!$C$16"))</f>
        <v>8.3000000000000007</v>
      </c>
      <c r="W14" s="332">
        <f ca="1">INDIRECT(CONCATENATE("'",$A14,"'!$C$173"))</f>
        <v>5.1999999999999998E-2</v>
      </c>
      <c r="X14" s="332">
        <f ca="1">INDIRECT(CONCATENATE("'",$A14,"'!$C$174"))</f>
        <v>9.0999999999999998E-2</v>
      </c>
      <c r="Y14" s="332" t="str">
        <f t="shared" ca="1" si="3"/>
        <v>netlevering: 0.053, niet-netlevering: 0.093</v>
      </c>
      <c r="Z14" s="332" t="str">
        <f ca="1">INDIRECT(CONCATENATE("'",$A14,"'!$C$175"))</f>
        <v>netlevering: 0.057, niet-netlevering: 0.093</v>
      </c>
      <c r="AA14" s="411">
        <f t="shared" ca="1" si="4"/>
        <v>7.3999999999999996E-2</v>
      </c>
    </row>
    <row r="15" spans="1:27" s="303" customFormat="1" ht="12" customHeight="1" x14ac:dyDescent="0.3">
      <c r="A15" s="296"/>
      <c r="B15" s="297" t="s">
        <v>73</v>
      </c>
      <c r="C15" s="298"/>
      <c r="D15" s="298"/>
      <c r="E15" s="298"/>
      <c r="F15" s="427"/>
      <c r="G15" s="298"/>
      <c r="H15" s="300"/>
      <c r="I15" s="300"/>
      <c r="J15" s="298"/>
      <c r="K15" s="298"/>
      <c r="L15" s="300"/>
      <c r="M15" s="298"/>
      <c r="N15" s="298"/>
      <c r="O15" s="298"/>
      <c r="P15" s="298"/>
      <c r="Q15" s="298"/>
      <c r="R15" s="301"/>
      <c r="S15" s="302"/>
      <c r="T15" s="299"/>
      <c r="U15" s="319"/>
      <c r="V15" s="319"/>
      <c r="W15" s="322"/>
      <c r="X15" s="322"/>
      <c r="Y15" s="322"/>
      <c r="Z15" s="322"/>
      <c r="AA15" s="412"/>
    </row>
    <row r="16" spans="1:27" s="213" customFormat="1" ht="12" customHeight="1" x14ac:dyDescent="0.35">
      <c r="A16" s="416">
        <v>8</v>
      </c>
      <c r="B16" s="91" t="str">
        <f t="shared" ca="1" si="0"/>
        <v>Windenergie, 15 kW op kva</v>
      </c>
      <c r="C16" s="6" t="str">
        <f t="shared" ca="1" si="5"/>
        <v>kWh</v>
      </c>
      <c r="D16" s="6" t="str">
        <f t="shared" ca="1" si="6"/>
        <v>Elektriciteit</v>
      </c>
      <c r="E16" s="314">
        <f t="shared" ca="1" si="7"/>
        <v>0.17199999999999999</v>
      </c>
      <c r="F16" s="425" t="str">
        <f t="shared" ca="1" si="8"/>
        <v>4.1</v>
      </c>
      <c r="G16" s="6">
        <f t="shared" ca="1" si="9"/>
        <v>0.10929999999999999</v>
      </c>
      <c r="H16" s="8">
        <f t="shared" ca="1" si="10"/>
        <v>4.8000000000000001E-2</v>
      </c>
      <c r="I16" s="336">
        <f t="shared" ref="I16:I28" ca="1" si="25">ROUND(INDIRECT(CONCATENATE("'",$A16,"'!$C$168")),I$5)</f>
        <v>4.3999999999999997E-2</v>
      </c>
      <c r="J16" s="314">
        <f t="shared" ref="J16:J28" ca="1" si="26">ROUND(INDIRECT(CONCATENATE("'",$A16,"'!$C$170")),J$5)</f>
        <v>4.0000000000000001E-3</v>
      </c>
      <c r="K16" s="314">
        <v>0</v>
      </c>
      <c r="L16" s="8">
        <f t="shared" ca="1" si="12"/>
        <v>0</v>
      </c>
      <c r="M16" s="314">
        <f ca="1">E16*G16/1000+H16</f>
        <v>4.8018799600000002E-2</v>
      </c>
      <c r="N16" s="314">
        <f t="shared" ref="N16:N28" ca="1" si="27">INDIRECT(CONCATENATE("'",$A16,"'!$C$164"))</f>
        <v>2.9663620671342653E-2</v>
      </c>
      <c r="O16" s="6">
        <f t="shared" ref="O16:P28" ca="1" si="28">INDIRECT(CONCATENATE("'",$A16,"'!$C$170"))</f>
        <v>4.0000000000000001E-3</v>
      </c>
      <c r="P16" s="6">
        <f t="shared" ca="1" si="28"/>
        <v>4.0000000000000001E-3</v>
      </c>
      <c r="Q16" s="6">
        <f t="shared" ca="1" si="16"/>
        <v>0</v>
      </c>
      <c r="R16" s="89">
        <f t="shared" ref="R16:R28" ca="1" si="29">ROUND(INDIRECT(CONCATENATE("'",$A16,"'!$C$160")),R$5)</f>
        <v>2140</v>
      </c>
      <c r="S16" s="90">
        <f t="shared" ca="1" si="17"/>
        <v>13141.35</v>
      </c>
      <c r="T16" s="7">
        <f t="shared" ca="1" si="18"/>
        <v>0</v>
      </c>
      <c r="U16" s="318">
        <f ca="1">INDIRECT(CONCATENATE("'",$A16,"'!$C$15"))</f>
        <v>0</v>
      </c>
      <c r="V16" s="318">
        <f ca="1">INDIRECT(CONCATENATE("'",$A16,"'!$C$16"))</f>
        <v>0</v>
      </c>
      <c r="W16" s="321" t="str">
        <f ca="1">INDIRECT(CONCATENATE("'",$A16,"'!$C$173"))</f>
        <v>n.v.t.</v>
      </c>
      <c r="X16" s="321" t="str">
        <f t="shared" ca="1" si="21"/>
        <v>n.v.t.</v>
      </c>
      <c r="Y16" s="332">
        <f t="shared" ref="Y16:Y28" ca="1" si="30">INDIRECT(CONCATENATE("'",$A16,"'!$C$169"))</f>
        <v>5.8999999999999997E-2</v>
      </c>
      <c r="Z16" s="324">
        <f ca="1">INDIRECT(CONCATENATE("'",$A16,"'!$C$175"))</f>
        <v>6.3018201912568517E-2</v>
      </c>
      <c r="AA16" s="413" t="str">
        <f t="shared" ref="AA16:AA28" ca="1" si="31">INDIRECT(CONCATENATE("'",$A16,"'!$C$167"))</f>
        <v>n.v.t.</v>
      </c>
    </row>
    <row r="17" spans="1:27" s="213" customFormat="1" ht="12" customHeight="1" x14ac:dyDescent="0.35">
      <c r="A17" s="416">
        <v>9</v>
      </c>
      <c r="B17" s="91" t="str">
        <f t="shared" ca="1" si="0"/>
        <v>Windenergie, 1 MW – windsnelheid &gt; 8,50 m/s, op gva</v>
      </c>
      <c r="C17" s="6" t="str">
        <f t="shared" ca="1" si="5"/>
        <v>kWh</v>
      </c>
      <c r="D17" s="6" t="str">
        <f t="shared" ca="1" si="6"/>
        <v>Elektriciteit</v>
      </c>
      <c r="E17" s="314">
        <f t="shared" ca="1" si="7"/>
        <v>0.123</v>
      </c>
      <c r="F17" s="425" t="str">
        <f t="shared" ca="1" si="8"/>
        <v>4.3</v>
      </c>
      <c r="G17" s="6">
        <f t="shared" ca="1" si="9"/>
        <v>0.10929999999999999</v>
      </c>
      <c r="H17" s="8">
        <f t="shared" ca="1" si="10"/>
        <v>4.8000000000000001E-2</v>
      </c>
      <c r="I17" s="336">
        <f t="shared" ca="1" si="25"/>
        <v>4.3999999999999997E-2</v>
      </c>
      <c r="J17" s="314">
        <f t="shared" ca="1" si="26"/>
        <v>4.0000000000000001E-3</v>
      </c>
      <c r="K17" s="314">
        <v>0</v>
      </c>
      <c r="L17" s="8">
        <f t="shared" ca="1" si="12"/>
        <v>0</v>
      </c>
      <c r="M17" s="314">
        <f t="shared" ref="M17:M28" ca="1" si="32">E17*G17/1000+H17</f>
        <v>4.8013443900000001E-2</v>
      </c>
      <c r="N17" s="314">
        <f t="shared" ca="1" si="27"/>
        <v>2.9663620671342653E-2</v>
      </c>
      <c r="O17" s="6">
        <f t="shared" ca="1" si="28"/>
        <v>4.0000000000000001E-3</v>
      </c>
      <c r="P17" s="6">
        <f t="shared" ca="1" si="28"/>
        <v>4.0000000000000001E-3</v>
      </c>
      <c r="Q17" s="6">
        <f t="shared" ca="1" si="16"/>
        <v>0</v>
      </c>
      <c r="R17" s="89">
        <f t="shared" ca="1" si="29"/>
        <v>2250</v>
      </c>
      <c r="S17" s="90">
        <f t="shared" ca="1" si="17"/>
        <v>676704</v>
      </c>
      <c r="T17" s="7">
        <f t="shared" ca="1" si="18"/>
        <v>0</v>
      </c>
      <c r="U17" s="318">
        <f t="shared" ref="U17:U28" ca="1" si="33">INDIRECT(CONCATENATE("'",$A17,"'!$C$15"))</f>
        <v>0</v>
      </c>
      <c r="V17" s="318">
        <f t="shared" ref="V17:V28" ca="1" si="34">INDIRECT(CONCATENATE("'",$A17,"'!$C$16"))</f>
        <v>0</v>
      </c>
      <c r="W17" s="321" t="str">
        <f t="shared" ref="W17:W30" ca="1" si="35">INDIRECT(CONCATENATE("'",$A17,"'!$C$173"))</f>
        <v>n.v.t.</v>
      </c>
      <c r="X17" s="321" t="str">
        <f t="shared" ca="1" si="21"/>
        <v>n.v.t.</v>
      </c>
      <c r="Y17" s="332">
        <f t="shared" ca="1" si="30"/>
        <v>6.5000000000000002E-2</v>
      </c>
      <c r="Z17" s="324">
        <f t="shared" ca="1" si="22"/>
        <v>6.9379731794335001E-2</v>
      </c>
      <c r="AA17" s="413" t="str">
        <f t="shared" ca="1" si="31"/>
        <v>n.v.t.</v>
      </c>
    </row>
    <row r="18" spans="1:27" s="213" customFormat="1" ht="12" customHeight="1" x14ac:dyDescent="0.35">
      <c r="A18" s="416">
        <v>10</v>
      </c>
      <c r="B18" s="91" t="str">
        <f t="shared" ca="1" si="0"/>
        <v>Windenergie, 1 MW – windsnelheid 8,00 - 8,50 m/s op gva</v>
      </c>
      <c r="C18" s="6" t="str">
        <f t="shared" ca="1" si="5"/>
        <v>kWh</v>
      </c>
      <c r="D18" s="6" t="str">
        <f t="shared" ca="1" si="6"/>
        <v>Elektriciteit</v>
      </c>
      <c r="E18" s="314">
        <f t="shared" ca="1" si="7"/>
        <v>0.13300000000000001</v>
      </c>
      <c r="F18" s="425" t="str">
        <f t="shared" ca="1" si="8"/>
        <v>4.3</v>
      </c>
      <c r="G18" s="6">
        <f t="shared" ca="1" si="9"/>
        <v>0.10929999999999999</v>
      </c>
      <c r="H18" s="8">
        <f t="shared" ca="1" si="10"/>
        <v>4.8000000000000001E-2</v>
      </c>
      <c r="I18" s="336">
        <f t="shared" ca="1" si="25"/>
        <v>4.3999999999999997E-2</v>
      </c>
      <c r="J18" s="314">
        <f t="shared" ca="1" si="26"/>
        <v>4.0000000000000001E-3</v>
      </c>
      <c r="K18" s="314">
        <v>0</v>
      </c>
      <c r="L18" s="8">
        <f t="shared" ca="1" si="12"/>
        <v>0</v>
      </c>
      <c r="M18" s="314">
        <f t="shared" ca="1" si="32"/>
        <v>4.8014536900000002E-2</v>
      </c>
      <c r="N18" s="314">
        <f t="shared" ca="1" si="27"/>
        <v>2.9663620671342653E-2</v>
      </c>
      <c r="O18" s="6">
        <f t="shared" ca="1" si="28"/>
        <v>4.0000000000000001E-3</v>
      </c>
      <c r="P18" s="6">
        <f t="shared" ca="1" si="28"/>
        <v>4.0000000000000001E-3</v>
      </c>
      <c r="Q18" s="6">
        <f t="shared" ca="1" si="16"/>
        <v>0</v>
      </c>
      <c r="R18" s="89">
        <f t="shared" ca="1" si="29"/>
        <v>2070</v>
      </c>
      <c r="S18" s="90">
        <f t="shared" ca="1" si="17"/>
        <v>676704</v>
      </c>
      <c r="T18" s="7">
        <f t="shared" ca="1" si="18"/>
        <v>0</v>
      </c>
      <c r="U18" s="318">
        <f t="shared" ca="1" si="33"/>
        <v>0</v>
      </c>
      <c r="V18" s="318">
        <f t="shared" ca="1" si="34"/>
        <v>0</v>
      </c>
      <c r="W18" s="321" t="str">
        <f t="shared" ca="1" si="35"/>
        <v>n.v.t.</v>
      </c>
      <c r="X18" s="321" t="str">
        <f t="shared" ca="1" si="21"/>
        <v>n.v.t.</v>
      </c>
      <c r="Y18" s="332">
        <f t="shared" ca="1" si="30"/>
        <v>6.5000000000000002E-2</v>
      </c>
      <c r="Z18" s="324">
        <f t="shared" ca="1" si="22"/>
        <v>6.9379731794335001E-2</v>
      </c>
      <c r="AA18" s="413" t="str">
        <f t="shared" ca="1" si="31"/>
        <v>n.v.t.</v>
      </c>
    </row>
    <row r="19" spans="1:27" s="213" customFormat="1" ht="12" customHeight="1" x14ac:dyDescent="0.35">
      <c r="A19" s="416">
        <v>11</v>
      </c>
      <c r="B19" s="91" t="str">
        <f t="shared" ref="B19:B30" ca="1" si="36">INDIRECT(CONCATENATE("'",A19,"'!A2"))</f>
        <v>Windenergie, 1 MW – windsnelheid 7,50 - 8,00 m/s op gva</v>
      </c>
      <c r="C19" s="6" t="str">
        <f t="shared" ca="1" si="5"/>
        <v>kWh</v>
      </c>
      <c r="D19" s="6" t="str">
        <f t="shared" ca="1" si="6"/>
        <v>Elektriciteit</v>
      </c>
      <c r="E19" s="314">
        <f t="shared" ca="1" si="7"/>
        <v>0.154</v>
      </c>
      <c r="F19" s="425" t="str">
        <f t="shared" ca="1" si="8"/>
        <v>4.3</v>
      </c>
      <c r="G19" s="6">
        <f t="shared" ca="1" si="9"/>
        <v>0.10929999999999999</v>
      </c>
      <c r="H19" s="8">
        <f t="shared" ca="1" si="10"/>
        <v>4.8000000000000001E-2</v>
      </c>
      <c r="I19" s="336">
        <f t="shared" ca="1" si="25"/>
        <v>4.3999999999999997E-2</v>
      </c>
      <c r="J19" s="314">
        <f t="shared" ca="1" si="26"/>
        <v>4.0000000000000001E-3</v>
      </c>
      <c r="K19" s="314">
        <v>0</v>
      </c>
      <c r="L19" s="8">
        <f t="shared" ca="1" si="12"/>
        <v>0</v>
      </c>
      <c r="M19" s="314">
        <f t="shared" ca="1" si="32"/>
        <v>4.8016832199999998E-2</v>
      </c>
      <c r="N19" s="314">
        <f t="shared" ca="1" si="27"/>
        <v>2.9663620671342653E-2</v>
      </c>
      <c r="O19" s="6">
        <f t="shared" ca="1" si="28"/>
        <v>4.0000000000000001E-3</v>
      </c>
      <c r="P19" s="6">
        <f t="shared" ca="1" si="28"/>
        <v>4.0000000000000001E-3</v>
      </c>
      <c r="Q19" s="6">
        <f t="shared" ca="1" si="16"/>
        <v>0</v>
      </c>
      <c r="R19" s="89">
        <f t="shared" ca="1" si="29"/>
        <v>1760</v>
      </c>
      <c r="S19" s="90">
        <f t="shared" ca="1" si="17"/>
        <v>676704</v>
      </c>
      <c r="T19" s="7">
        <f t="shared" ca="1" si="18"/>
        <v>0</v>
      </c>
      <c r="U19" s="318">
        <f t="shared" ca="1" si="33"/>
        <v>0</v>
      </c>
      <c r="V19" s="318">
        <f t="shared" ca="1" si="34"/>
        <v>0</v>
      </c>
      <c r="W19" s="321" t="str">
        <f t="shared" ca="1" si="35"/>
        <v>n.v.t.</v>
      </c>
      <c r="X19" s="321" t="str">
        <f t="shared" ca="1" si="21"/>
        <v>n.v.t.</v>
      </c>
      <c r="Y19" s="332">
        <f t="shared" ca="1" si="30"/>
        <v>6.5000000000000002E-2</v>
      </c>
      <c r="Z19" s="324">
        <f t="shared" ca="1" si="22"/>
        <v>6.9379731794335001E-2</v>
      </c>
      <c r="AA19" s="413" t="str">
        <f t="shared" ca="1" si="31"/>
        <v>n.v.t.</v>
      </c>
    </row>
    <row r="20" spans="1:27" s="213" customFormat="1" ht="12" customHeight="1" x14ac:dyDescent="0.35">
      <c r="A20" s="417">
        <v>12</v>
      </c>
      <c r="B20" s="91" t="str">
        <f t="shared" ca="1" si="36"/>
        <v>Windenergie, 1 MW – windsnelheid 7,00 - 7,50 m/s op gva</v>
      </c>
      <c r="C20" s="6" t="str">
        <f t="shared" ca="1" si="5"/>
        <v>kWh</v>
      </c>
      <c r="D20" s="6" t="str">
        <f t="shared" ca="1" si="6"/>
        <v>Elektriciteit</v>
      </c>
      <c r="E20" s="314">
        <f t="shared" ca="1" si="7"/>
        <v>0.16500000000000001</v>
      </c>
      <c r="F20" s="425" t="str">
        <f t="shared" ca="1" si="8"/>
        <v>4.3</v>
      </c>
      <c r="G20" s="6">
        <f t="shared" ca="1" si="9"/>
        <v>0.10929999999999999</v>
      </c>
      <c r="H20" s="8">
        <f t="shared" ca="1" si="10"/>
        <v>4.8000000000000001E-2</v>
      </c>
      <c r="I20" s="336">
        <f t="shared" ca="1" si="25"/>
        <v>4.3999999999999997E-2</v>
      </c>
      <c r="J20" s="314">
        <f t="shared" ca="1" si="26"/>
        <v>4.0000000000000001E-3</v>
      </c>
      <c r="K20" s="314">
        <v>0</v>
      </c>
      <c r="L20" s="8">
        <f t="shared" ca="1" si="12"/>
        <v>0</v>
      </c>
      <c r="M20" s="314">
        <f t="shared" ca="1" si="32"/>
        <v>4.8018034500000001E-2</v>
      </c>
      <c r="N20" s="314">
        <f t="shared" ca="1" si="27"/>
        <v>2.9663620671342653E-2</v>
      </c>
      <c r="O20" s="6">
        <f t="shared" ca="1" si="28"/>
        <v>4.0000000000000001E-3</v>
      </c>
      <c r="P20" s="6">
        <f t="shared" ca="1" si="28"/>
        <v>4.0000000000000001E-3</v>
      </c>
      <c r="Q20" s="6">
        <f t="shared" ca="1" si="16"/>
        <v>0</v>
      </c>
      <c r="R20" s="89">
        <f t="shared" ca="1" si="29"/>
        <v>1630</v>
      </c>
      <c r="S20" s="90">
        <f t="shared" ca="1" si="17"/>
        <v>676704</v>
      </c>
      <c r="T20" s="7">
        <f t="shared" ca="1" si="18"/>
        <v>0</v>
      </c>
      <c r="U20" s="318">
        <f t="shared" ca="1" si="33"/>
        <v>0</v>
      </c>
      <c r="V20" s="318">
        <f t="shared" ca="1" si="34"/>
        <v>0</v>
      </c>
      <c r="W20" s="321" t="str">
        <f t="shared" ca="1" si="35"/>
        <v>n.v.t.</v>
      </c>
      <c r="X20" s="321" t="str">
        <f t="shared" ca="1" si="21"/>
        <v>n.v.t.</v>
      </c>
      <c r="Y20" s="332">
        <f t="shared" ca="1" si="30"/>
        <v>6.5000000000000002E-2</v>
      </c>
      <c r="Z20" s="324">
        <f t="shared" ca="1" si="22"/>
        <v>6.9379731794335001E-2</v>
      </c>
      <c r="AA20" s="413" t="str">
        <f t="shared" ca="1" si="31"/>
        <v>n.v.t.</v>
      </c>
    </row>
    <row r="21" spans="1:27" s="213" customFormat="1" ht="12" customHeight="1" x14ac:dyDescent="0.35">
      <c r="A21" s="417">
        <v>13</v>
      </c>
      <c r="B21" s="91" t="str">
        <f t="shared" ca="1" si="36"/>
        <v>Windenergie, 1 MW – windsnelheid 6,75 - 7,00 m/s op gva</v>
      </c>
      <c r="C21" s="6" t="str">
        <f t="shared" ca="1" si="5"/>
        <v>kWh</v>
      </c>
      <c r="D21" s="6" t="str">
        <f t="shared" ca="1" si="6"/>
        <v>Elektriciteit</v>
      </c>
      <c r="E21" s="314">
        <f t="shared" ca="1" si="7"/>
        <v>0.17799999999999999</v>
      </c>
      <c r="F21" s="425" t="str">
        <f t="shared" ca="1" si="8"/>
        <v>4.3</v>
      </c>
      <c r="G21" s="6">
        <f t="shared" ca="1" si="9"/>
        <v>0.10929999999999999</v>
      </c>
      <c r="H21" s="8">
        <f t="shared" ca="1" si="10"/>
        <v>4.8000000000000001E-2</v>
      </c>
      <c r="I21" s="336">
        <f t="shared" ca="1" si="25"/>
        <v>4.3999999999999997E-2</v>
      </c>
      <c r="J21" s="314">
        <f t="shared" ca="1" si="26"/>
        <v>4.0000000000000001E-3</v>
      </c>
      <c r="K21" s="314">
        <v>0</v>
      </c>
      <c r="L21" s="8">
        <f t="shared" ca="1" si="12"/>
        <v>0</v>
      </c>
      <c r="M21" s="314">
        <f t="shared" ca="1" si="32"/>
        <v>4.8019455400000001E-2</v>
      </c>
      <c r="N21" s="314">
        <f t="shared" ca="1" si="27"/>
        <v>2.9663620671342653E-2</v>
      </c>
      <c r="O21" s="6">
        <f t="shared" ca="1" si="28"/>
        <v>4.0000000000000001E-3</v>
      </c>
      <c r="P21" s="6">
        <f t="shared" ca="1" si="28"/>
        <v>4.0000000000000001E-3</v>
      </c>
      <c r="Q21" s="6">
        <f t="shared" ca="1" si="16"/>
        <v>0</v>
      </c>
      <c r="R21" s="89">
        <f t="shared" ca="1" si="29"/>
        <v>1500</v>
      </c>
      <c r="S21" s="90">
        <f t="shared" ca="1" si="17"/>
        <v>676704</v>
      </c>
      <c r="T21" s="7">
        <f t="shared" ca="1" si="18"/>
        <v>0</v>
      </c>
      <c r="U21" s="318">
        <f t="shared" ca="1" si="33"/>
        <v>0</v>
      </c>
      <c r="V21" s="318">
        <f t="shared" ca="1" si="34"/>
        <v>0</v>
      </c>
      <c r="W21" s="321" t="str">
        <f t="shared" ca="1" si="35"/>
        <v>n.v.t.</v>
      </c>
      <c r="X21" s="321" t="str">
        <f t="shared" ca="1" si="21"/>
        <v>n.v.t.</v>
      </c>
      <c r="Y21" s="332">
        <f t="shared" ca="1" si="30"/>
        <v>6.5000000000000002E-2</v>
      </c>
      <c r="Z21" s="324">
        <f t="shared" ca="1" si="22"/>
        <v>6.9379731794335001E-2</v>
      </c>
      <c r="AA21" s="413" t="str">
        <f t="shared" ca="1" si="31"/>
        <v>n.v.t.</v>
      </c>
    </row>
    <row r="22" spans="1:27" s="213" customFormat="1" ht="12" customHeight="1" x14ac:dyDescent="0.35">
      <c r="A22" s="418">
        <v>14</v>
      </c>
      <c r="B22" s="91" t="str">
        <f t="shared" ca="1" si="36"/>
        <v>Windenergie, 1 MW – windsnelheid &lt; 6,75 m/s op gva</v>
      </c>
      <c r="C22" s="6" t="str">
        <f t="shared" ca="1" si="5"/>
        <v>kWh</v>
      </c>
      <c r="D22" s="6" t="str">
        <f t="shared" ca="1" si="6"/>
        <v>Elektriciteit</v>
      </c>
      <c r="E22" s="314">
        <f t="shared" ca="1" si="7"/>
        <v>0.192</v>
      </c>
      <c r="F22" s="425" t="str">
        <f t="shared" ca="1" si="8"/>
        <v>4.3</v>
      </c>
      <c r="G22" s="6">
        <f t="shared" ca="1" si="9"/>
        <v>0.10929999999999999</v>
      </c>
      <c r="H22" s="8">
        <f t="shared" ca="1" si="10"/>
        <v>4.8000000000000001E-2</v>
      </c>
      <c r="I22" s="336">
        <f t="shared" ca="1" si="25"/>
        <v>4.3999999999999997E-2</v>
      </c>
      <c r="J22" s="314">
        <f t="shared" ca="1" si="26"/>
        <v>4.0000000000000001E-3</v>
      </c>
      <c r="K22" s="314">
        <v>0</v>
      </c>
      <c r="L22" s="8">
        <f t="shared" ca="1" si="12"/>
        <v>0</v>
      </c>
      <c r="M22" s="314">
        <f t="shared" ca="1" si="32"/>
        <v>4.8020985600000003E-2</v>
      </c>
      <c r="N22" s="314">
        <f t="shared" ca="1" si="27"/>
        <v>2.9663620671342653E-2</v>
      </c>
      <c r="O22" s="6">
        <f t="shared" ca="1" si="28"/>
        <v>4.0000000000000001E-3</v>
      </c>
      <c r="P22" s="6">
        <f t="shared" ca="1" si="28"/>
        <v>4.0000000000000001E-3</v>
      </c>
      <c r="Q22" s="6">
        <f t="shared" ca="1" si="16"/>
        <v>0</v>
      </c>
      <c r="R22" s="89">
        <f t="shared" ca="1" si="29"/>
        <v>1380</v>
      </c>
      <c r="S22" s="90">
        <f t="shared" ca="1" si="17"/>
        <v>676704</v>
      </c>
      <c r="T22" s="7">
        <f t="shared" ca="1" si="18"/>
        <v>0</v>
      </c>
      <c r="U22" s="318">
        <f t="shared" ca="1" si="33"/>
        <v>0</v>
      </c>
      <c r="V22" s="318">
        <f t="shared" ca="1" si="34"/>
        <v>0</v>
      </c>
      <c r="W22" s="321" t="str">
        <f t="shared" ca="1" si="35"/>
        <v>n.v.t.</v>
      </c>
      <c r="X22" s="321" t="str">
        <f t="shared" ca="1" si="21"/>
        <v>n.v.t.</v>
      </c>
      <c r="Y22" s="332">
        <f t="shared" ca="1" si="30"/>
        <v>6.5000000000000002E-2</v>
      </c>
      <c r="Z22" s="324">
        <f t="shared" ca="1" si="22"/>
        <v>6.9379731794335001E-2</v>
      </c>
      <c r="AA22" s="413" t="str">
        <f t="shared" ca="1" si="31"/>
        <v>n.v.t.</v>
      </c>
    </row>
    <row r="23" spans="1:27" s="213" customFormat="1" ht="12" customHeight="1" x14ac:dyDescent="0.35">
      <c r="A23" s="417">
        <v>15</v>
      </c>
      <c r="B23" s="91" t="str">
        <f t="shared" ca="1" si="36"/>
        <v>Windenergie, tot 6MW – windsnelheid &gt; 8,50 m/s, (referentie 15 MW, gva)</v>
      </c>
      <c r="C23" s="6" t="str">
        <f t="shared" ref="C23:C30" ca="1" si="37">INDIRECT(CONCATENATE("'",$A23,"'!$C$7"))</f>
        <v>kWh</v>
      </c>
      <c r="D23" s="6" t="str">
        <f t="shared" ref="D23:D30" ca="1" si="38">INDIRECT(CONCATENATE("'",$A23,"'!$C$9"))</f>
        <v>Elektriciteit</v>
      </c>
      <c r="E23" s="314">
        <f ca="1">ROUND(INDIRECT(CONCATENATE("'",$A23,"'!$C$5")),E$5)</f>
        <v>5.7000000000000002E-2</v>
      </c>
      <c r="F23" s="425" t="str">
        <f t="shared" ref="F23:F30" ca="1" si="39">IF(AND(INDIRECT(CONCATENATE("'",$A23,"'!$C$15"))&gt;0,INDIRECT(CONCATENATE("'",$A23,"'!$C$16"))&gt;0),INDIRECT(CONCATENATE("'",$A23,"'!$C$15"))&amp;" / "&amp;INDIRECT(CONCATENATE("'",$A23,"'!$C$16")),INDIRECT(CONCATENATE("'",$A23,"'!$C$12")))</f>
        <v>4.3</v>
      </c>
      <c r="G23" s="6">
        <f t="shared" ref="G23:G30" ca="1" si="40">ROUND(INDIRECT(CONCATENATE("'",$A23,"'!$C$70")),G$5)</f>
        <v>0.10929999999999999</v>
      </c>
      <c r="H23" s="8">
        <f ca="1">SUM(I23:L23)</f>
        <v>4.8000000000000001E-2</v>
      </c>
      <c r="I23" s="336">
        <f t="shared" ca="1" si="25"/>
        <v>4.3999999999999997E-2</v>
      </c>
      <c r="J23" s="314">
        <f t="shared" ca="1" si="26"/>
        <v>4.0000000000000001E-3</v>
      </c>
      <c r="K23" s="314">
        <v>0</v>
      </c>
      <c r="L23" s="8">
        <f t="shared" ref="L23:L30" ca="1" si="41">ROUND(INDIRECT(CONCATENATE("'",$A23,"'!$C$172")),L$5)</f>
        <v>0</v>
      </c>
      <c r="M23" s="314">
        <f t="shared" ca="1" si="32"/>
        <v>4.8006230099999998E-2</v>
      </c>
      <c r="N23" s="314">
        <f t="shared" ca="1" si="27"/>
        <v>2.9663620671342653E-2</v>
      </c>
      <c r="O23" s="6">
        <f t="shared" ca="1" si="28"/>
        <v>4.0000000000000001E-3</v>
      </c>
      <c r="P23" s="6">
        <f t="shared" ca="1" si="28"/>
        <v>4.0000000000000001E-3</v>
      </c>
      <c r="Q23" s="6">
        <f t="shared" ref="Q23:Q30" ca="1" si="42">ROUND(INDIRECT(CONCATENATE("'",$A23,"'!$C$171")),Q$5)</f>
        <v>0</v>
      </c>
      <c r="R23" s="89">
        <f t="shared" ca="1" si="29"/>
        <v>3480</v>
      </c>
      <c r="S23" s="90">
        <f t="shared" ref="S23:S30" ca="1" si="43">ROUND(INDIRECT(CONCATENATE("'",$A23,"'!$C$158")),S$5)</f>
        <v>2147931</v>
      </c>
      <c r="T23" s="7">
        <f t="shared" ref="T23:T30" ca="1" si="44">INDIRECT(CONCATENATE("'",$A23,"'!$C$13"))</f>
        <v>0</v>
      </c>
      <c r="U23" s="318">
        <f t="shared" ca="1" si="33"/>
        <v>0</v>
      </c>
      <c r="V23" s="318">
        <f t="shared" ca="1" si="34"/>
        <v>0</v>
      </c>
      <c r="W23" s="321" t="str">
        <f t="shared" ca="1" si="35"/>
        <v>n.v.t.</v>
      </c>
      <c r="X23" s="321" t="str">
        <f t="shared" ca="1" si="21"/>
        <v>n.v.t.</v>
      </c>
      <c r="Y23" s="332">
        <f t="shared" ca="1" si="30"/>
        <v>6.5000000000000002E-2</v>
      </c>
      <c r="Z23" s="324">
        <f t="shared" ca="1" si="22"/>
        <v>6.9379731794335001E-2</v>
      </c>
      <c r="AA23" s="413" t="str">
        <f t="shared" ca="1" si="31"/>
        <v>n.v.t.</v>
      </c>
    </row>
    <row r="24" spans="1:27" s="213" customFormat="1" ht="12" customHeight="1" x14ac:dyDescent="0.35">
      <c r="A24" s="417">
        <v>16</v>
      </c>
      <c r="B24" s="91" t="str">
        <f t="shared" ca="1" si="36"/>
        <v>Windenergie, tot 6MW – windsnelheid 8,00 - 8,50 m/s, (referentie 15 MW, gva)</v>
      </c>
      <c r="C24" s="6" t="str">
        <f t="shared" ca="1" si="37"/>
        <v>kWh</v>
      </c>
      <c r="D24" s="6" t="str">
        <f t="shared" ca="1" si="38"/>
        <v>Elektriciteit</v>
      </c>
      <c r="E24" s="314">
        <f t="shared" ref="E24:E30" ca="1" si="45">ROUND(INDIRECT(CONCATENATE("'",$A24,"'!$C$5")),E$5)</f>
        <v>0.06</v>
      </c>
      <c r="F24" s="425" t="str">
        <f t="shared" ca="1" si="39"/>
        <v>4.3</v>
      </c>
      <c r="G24" s="6">
        <f t="shared" ca="1" si="40"/>
        <v>0.10929999999999999</v>
      </c>
      <c r="H24" s="8">
        <f t="shared" ref="H24:H30" ca="1" si="46">SUM(I24:L24)</f>
        <v>4.8000000000000001E-2</v>
      </c>
      <c r="I24" s="336">
        <f t="shared" ca="1" si="25"/>
        <v>4.3999999999999997E-2</v>
      </c>
      <c r="J24" s="314">
        <f t="shared" ca="1" si="26"/>
        <v>4.0000000000000001E-3</v>
      </c>
      <c r="K24" s="314">
        <v>0</v>
      </c>
      <c r="L24" s="8">
        <f t="shared" ca="1" si="41"/>
        <v>0</v>
      </c>
      <c r="M24" s="314">
        <f t="shared" ca="1" si="32"/>
        <v>4.8006557999999998E-2</v>
      </c>
      <c r="N24" s="314">
        <f t="shared" ca="1" si="27"/>
        <v>2.9663620671342653E-2</v>
      </c>
      <c r="O24" s="6">
        <f t="shared" ca="1" si="28"/>
        <v>4.0000000000000001E-3</v>
      </c>
      <c r="P24" s="6">
        <f t="shared" ca="1" si="28"/>
        <v>4.0000000000000001E-3</v>
      </c>
      <c r="Q24" s="6">
        <f t="shared" ca="1" si="42"/>
        <v>0</v>
      </c>
      <c r="R24" s="89">
        <f t="shared" ca="1" si="29"/>
        <v>3300</v>
      </c>
      <c r="S24" s="90">
        <f t="shared" ca="1" si="43"/>
        <v>2147931</v>
      </c>
      <c r="T24" s="7">
        <f t="shared" ca="1" si="44"/>
        <v>0</v>
      </c>
      <c r="U24" s="318">
        <f t="shared" ca="1" si="33"/>
        <v>0</v>
      </c>
      <c r="V24" s="318">
        <f t="shared" ca="1" si="34"/>
        <v>0</v>
      </c>
      <c r="W24" s="321" t="str">
        <f t="shared" ca="1" si="35"/>
        <v>n.v.t.</v>
      </c>
      <c r="X24" s="321" t="str">
        <f t="shared" ca="1" si="21"/>
        <v>n.v.t.</v>
      </c>
      <c r="Y24" s="332">
        <f t="shared" ca="1" si="30"/>
        <v>6.5000000000000002E-2</v>
      </c>
      <c r="Z24" s="324">
        <f t="shared" ca="1" si="22"/>
        <v>6.9379731794335001E-2</v>
      </c>
      <c r="AA24" s="413" t="str">
        <f t="shared" ca="1" si="31"/>
        <v>n.v.t.</v>
      </c>
    </row>
    <row r="25" spans="1:27" s="213" customFormat="1" ht="12" customHeight="1" x14ac:dyDescent="0.35">
      <c r="A25" s="417">
        <v>17</v>
      </c>
      <c r="B25" s="91" t="str">
        <f t="shared" ca="1" si="36"/>
        <v>Windenergie, tot 6MW – windsnelheid 7,50 - 8,00 m/s, (referentie 15 MW, gva)</v>
      </c>
      <c r="C25" s="6" t="str">
        <f t="shared" ca="1" si="37"/>
        <v>kWh</v>
      </c>
      <c r="D25" s="6" t="str">
        <f t="shared" ca="1" si="38"/>
        <v>Elektriciteit</v>
      </c>
      <c r="E25" s="314">
        <f t="shared" ca="1" si="45"/>
        <v>6.6000000000000003E-2</v>
      </c>
      <c r="F25" s="425" t="str">
        <f t="shared" ca="1" si="39"/>
        <v>4.3</v>
      </c>
      <c r="G25" s="6">
        <f t="shared" ca="1" si="40"/>
        <v>0.10929999999999999</v>
      </c>
      <c r="H25" s="8">
        <f t="shared" ca="1" si="46"/>
        <v>4.8000000000000001E-2</v>
      </c>
      <c r="I25" s="336">
        <f t="shared" ca="1" si="25"/>
        <v>4.3999999999999997E-2</v>
      </c>
      <c r="J25" s="314">
        <f t="shared" ca="1" si="26"/>
        <v>4.0000000000000001E-3</v>
      </c>
      <c r="K25" s="314">
        <v>0</v>
      </c>
      <c r="L25" s="8">
        <f t="shared" ca="1" si="41"/>
        <v>0</v>
      </c>
      <c r="M25" s="314">
        <f t="shared" ca="1" si="32"/>
        <v>4.8007213800000004E-2</v>
      </c>
      <c r="N25" s="314">
        <f t="shared" ca="1" si="27"/>
        <v>2.9663620671342653E-2</v>
      </c>
      <c r="O25" s="6">
        <f t="shared" ca="1" si="28"/>
        <v>4.0000000000000001E-3</v>
      </c>
      <c r="P25" s="6">
        <f t="shared" ca="1" si="28"/>
        <v>4.0000000000000001E-3</v>
      </c>
      <c r="Q25" s="6">
        <f t="shared" ca="1" si="42"/>
        <v>0</v>
      </c>
      <c r="R25" s="89">
        <f t="shared" ca="1" si="29"/>
        <v>2950</v>
      </c>
      <c r="S25" s="90">
        <f t="shared" ca="1" si="43"/>
        <v>2147931</v>
      </c>
      <c r="T25" s="7">
        <f t="shared" ca="1" si="44"/>
        <v>0</v>
      </c>
      <c r="U25" s="318">
        <f ca="1">INDIRECT(CONCATENATE("'",$A25,"'!$C$15"))</f>
        <v>0</v>
      </c>
      <c r="V25" s="318">
        <f t="shared" ca="1" si="34"/>
        <v>0</v>
      </c>
      <c r="W25" s="321" t="str">
        <f t="shared" ca="1" si="35"/>
        <v>n.v.t.</v>
      </c>
      <c r="X25" s="321" t="str">
        <f t="shared" ca="1" si="21"/>
        <v>n.v.t.</v>
      </c>
      <c r="Y25" s="332">
        <f t="shared" ca="1" si="30"/>
        <v>6.5000000000000002E-2</v>
      </c>
      <c r="Z25" s="324">
        <f t="shared" ca="1" si="22"/>
        <v>6.9379731794335001E-2</v>
      </c>
      <c r="AA25" s="413" t="str">
        <f t="shared" ca="1" si="31"/>
        <v>n.v.t.</v>
      </c>
    </row>
    <row r="26" spans="1:27" s="213" customFormat="1" ht="12" customHeight="1" x14ac:dyDescent="0.35">
      <c r="A26" s="416">
        <v>18</v>
      </c>
      <c r="B26" s="91" t="str">
        <f t="shared" ca="1" si="36"/>
        <v>Windenergie, tot 6MW – windsnelheid 7,00 - 7,50 m/s, (referentie 15 MW, gva)</v>
      </c>
      <c r="C26" s="6" t="str">
        <f t="shared" ca="1" si="37"/>
        <v>kWh</v>
      </c>
      <c r="D26" s="6" t="str">
        <f t="shared" ca="1" si="38"/>
        <v>Elektriciteit</v>
      </c>
      <c r="E26" s="314">
        <f t="shared" ca="1" si="45"/>
        <v>7.2999999999999995E-2</v>
      </c>
      <c r="F26" s="425" t="str">
        <f t="shared" ca="1" si="39"/>
        <v>4.3</v>
      </c>
      <c r="G26" s="6">
        <f t="shared" ca="1" si="40"/>
        <v>0.10929999999999999</v>
      </c>
      <c r="H26" s="8">
        <f t="shared" ca="1" si="46"/>
        <v>4.8000000000000001E-2</v>
      </c>
      <c r="I26" s="336">
        <f t="shared" ca="1" si="25"/>
        <v>4.3999999999999997E-2</v>
      </c>
      <c r="J26" s="314">
        <f t="shared" ca="1" si="26"/>
        <v>4.0000000000000001E-3</v>
      </c>
      <c r="K26" s="314">
        <v>0</v>
      </c>
      <c r="L26" s="8">
        <f t="shared" ca="1" si="41"/>
        <v>0</v>
      </c>
      <c r="M26" s="314">
        <f t="shared" ca="1" si="32"/>
        <v>4.8007978899999998E-2</v>
      </c>
      <c r="N26" s="314">
        <f t="shared" ca="1" si="27"/>
        <v>2.9663620671342653E-2</v>
      </c>
      <c r="O26" s="6">
        <f t="shared" ca="1" si="28"/>
        <v>4.0000000000000001E-3</v>
      </c>
      <c r="P26" s="6">
        <f t="shared" ca="1" si="28"/>
        <v>4.0000000000000001E-3</v>
      </c>
      <c r="Q26" s="6">
        <f t="shared" ca="1" si="42"/>
        <v>0</v>
      </c>
      <c r="R26" s="89">
        <f t="shared" ca="1" si="29"/>
        <v>2660</v>
      </c>
      <c r="S26" s="90">
        <f t="shared" ca="1" si="43"/>
        <v>2147931</v>
      </c>
      <c r="T26" s="7">
        <f t="shared" ca="1" si="44"/>
        <v>0</v>
      </c>
      <c r="U26" s="318">
        <f t="shared" ca="1" si="33"/>
        <v>0</v>
      </c>
      <c r="V26" s="318">
        <f t="shared" ca="1" si="34"/>
        <v>0</v>
      </c>
      <c r="W26" s="321" t="str">
        <f t="shared" ca="1" si="35"/>
        <v>n.v.t.</v>
      </c>
      <c r="X26" s="321" t="str">
        <f t="shared" ca="1" si="21"/>
        <v>n.v.t.</v>
      </c>
      <c r="Y26" s="332">
        <f t="shared" ca="1" si="30"/>
        <v>6.5000000000000002E-2</v>
      </c>
      <c r="Z26" s="324">
        <f t="shared" ca="1" si="22"/>
        <v>6.9379731794335001E-2</v>
      </c>
      <c r="AA26" s="413" t="str">
        <f t="shared" ca="1" si="31"/>
        <v>n.v.t.</v>
      </c>
    </row>
    <row r="27" spans="1:27" ht="12" customHeight="1" x14ac:dyDescent="0.35">
      <c r="A27" s="416">
        <v>19</v>
      </c>
      <c r="B27" s="91" t="str">
        <f t="shared" ca="1" si="36"/>
        <v>Windenergie, tot 6MW – windsnelheid 6,75 - 7,00 m/s, (referentie 15 MW, gva)</v>
      </c>
      <c r="C27" s="6" t="str">
        <f t="shared" ca="1" si="37"/>
        <v>kWh</v>
      </c>
      <c r="D27" s="6" t="str">
        <f t="shared" ca="1" si="38"/>
        <v>Elektriciteit</v>
      </c>
      <c r="E27" s="314">
        <f t="shared" ca="1" si="45"/>
        <v>7.8E-2</v>
      </c>
      <c r="F27" s="425" t="str">
        <f t="shared" ca="1" si="39"/>
        <v>4.3</v>
      </c>
      <c r="G27" s="6">
        <f t="shared" ca="1" si="40"/>
        <v>0.10929999999999999</v>
      </c>
      <c r="H27" s="8">
        <f t="shared" ca="1" si="46"/>
        <v>4.8000000000000001E-2</v>
      </c>
      <c r="I27" s="336">
        <f t="shared" ca="1" si="25"/>
        <v>4.3999999999999997E-2</v>
      </c>
      <c r="J27" s="314">
        <f t="shared" ca="1" si="26"/>
        <v>4.0000000000000001E-3</v>
      </c>
      <c r="K27" s="314">
        <v>0</v>
      </c>
      <c r="L27" s="8">
        <f t="shared" ca="1" si="41"/>
        <v>0</v>
      </c>
      <c r="M27" s="314">
        <f t="shared" ca="1" si="32"/>
        <v>4.8008525400000002E-2</v>
      </c>
      <c r="N27" s="314">
        <f t="shared" ca="1" si="27"/>
        <v>2.9663620671342653E-2</v>
      </c>
      <c r="O27" s="6">
        <f t="shared" ca="1" si="28"/>
        <v>4.0000000000000001E-3</v>
      </c>
      <c r="P27" s="6">
        <f t="shared" ca="1" si="28"/>
        <v>4.0000000000000001E-3</v>
      </c>
      <c r="Q27" s="6">
        <f t="shared" ca="1" si="42"/>
        <v>0</v>
      </c>
      <c r="R27" s="89">
        <f t="shared" ca="1" si="29"/>
        <v>2450</v>
      </c>
      <c r="S27" s="90">
        <f t="shared" ca="1" si="43"/>
        <v>2147931</v>
      </c>
      <c r="T27" s="7">
        <f t="shared" ca="1" si="44"/>
        <v>0</v>
      </c>
      <c r="U27" s="318">
        <f t="shared" ca="1" si="33"/>
        <v>0</v>
      </c>
      <c r="V27" s="318">
        <f t="shared" ca="1" si="34"/>
        <v>0</v>
      </c>
      <c r="W27" s="321" t="str">
        <f t="shared" ca="1" si="35"/>
        <v>n.v.t.</v>
      </c>
      <c r="X27" s="321" t="str">
        <f t="shared" ca="1" si="21"/>
        <v>n.v.t.</v>
      </c>
      <c r="Y27" s="332">
        <f t="shared" ca="1" si="30"/>
        <v>6.5000000000000002E-2</v>
      </c>
      <c r="Z27" s="324">
        <f t="shared" ca="1" si="22"/>
        <v>6.9379731794335001E-2</v>
      </c>
      <c r="AA27" s="413" t="str">
        <f t="shared" ca="1" si="31"/>
        <v>n.v.t.</v>
      </c>
    </row>
    <row r="28" spans="1:27" ht="12" customHeight="1" x14ac:dyDescent="0.35">
      <c r="A28" s="416">
        <v>20</v>
      </c>
      <c r="B28" s="91" t="str">
        <f t="shared" ca="1" si="36"/>
        <v>Windenergie, tot 6MW – windsnelheid &lt; 6,75  m/s, (referentie 15 MW, gva)</v>
      </c>
      <c r="C28" s="6" t="str">
        <f t="shared" ca="1" si="37"/>
        <v>kWh</v>
      </c>
      <c r="D28" s="6" t="str">
        <f t="shared" ca="1" si="38"/>
        <v>Elektriciteit</v>
      </c>
      <c r="E28" s="314">
        <f t="shared" ca="1" si="45"/>
        <v>8.4000000000000005E-2</v>
      </c>
      <c r="F28" s="425" t="str">
        <f t="shared" ca="1" si="39"/>
        <v>4.3</v>
      </c>
      <c r="G28" s="6">
        <f t="shared" ca="1" si="40"/>
        <v>0.10929999999999999</v>
      </c>
      <c r="H28" s="8">
        <f t="shared" ca="1" si="46"/>
        <v>4.8000000000000001E-2</v>
      </c>
      <c r="I28" s="336">
        <f t="shared" ca="1" si="25"/>
        <v>4.3999999999999997E-2</v>
      </c>
      <c r="J28" s="314">
        <f t="shared" ca="1" si="26"/>
        <v>4.0000000000000001E-3</v>
      </c>
      <c r="K28" s="314">
        <v>0</v>
      </c>
      <c r="L28" s="8">
        <f t="shared" ca="1" si="41"/>
        <v>0</v>
      </c>
      <c r="M28" s="314">
        <f t="shared" ca="1" si="32"/>
        <v>4.8009181200000001E-2</v>
      </c>
      <c r="N28" s="314">
        <f t="shared" ca="1" si="27"/>
        <v>2.9663620671342653E-2</v>
      </c>
      <c r="O28" s="6">
        <f t="shared" ca="1" si="28"/>
        <v>4.0000000000000001E-3</v>
      </c>
      <c r="P28" s="6">
        <f t="shared" ca="1" si="28"/>
        <v>4.0000000000000001E-3</v>
      </c>
      <c r="Q28" s="6">
        <f t="shared" ca="1" si="42"/>
        <v>0</v>
      </c>
      <c r="R28" s="89">
        <f t="shared" ca="1" si="29"/>
        <v>2280</v>
      </c>
      <c r="S28" s="90">
        <f t="shared" ca="1" si="43"/>
        <v>2147931</v>
      </c>
      <c r="T28" s="7">
        <f t="shared" ca="1" si="44"/>
        <v>0</v>
      </c>
      <c r="U28" s="318">
        <f t="shared" ca="1" si="33"/>
        <v>0</v>
      </c>
      <c r="V28" s="318">
        <f t="shared" ca="1" si="34"/>
        <v>0</v>
      </c>
      <c r="W28" s="321" t="str">
        <f t="shared" ca="1" si="35"/>
        <v>n.v.t.</v>
      </c>
      <c r="X28" s="321" t="str">
        <f t="shared" ca="1" si="21"/>
        <v>n.v.t.</v>
      </c>
      <c r="Y28" s="332">
        <f t="shared" ca="1" si="30"/>
        <v>6.5000000000000002E-2</v>
      </c>
      <c r="Z28" s="324">
        <f t="shared" ca="1" si="22"/>
        <v>6.9379731794335001E-2</v>
      </c>
      <c r="AA28" s="413" t="str">
        <f t="shared" ca="1" si="31"/>
        <v>n.v.t.</v>
      </c>
    </row>
    <row r="29" spans="1:27" s="311" customFormat="1" ht="12" customHeight="1" x14ac:dyDescent="0.3">
      <c r="A29" s="304"/>
      <c r="B29" s="305" t="s">
        <v>74</v>
      </c>
      <c r="C29" s="306"/>
      <c r="D29" s="306"/>
      <c r="E29" s="306"/>
      <c r="F29" s="307"/>
      <c r="G29" s="306"/>
      <c r="H29" s="308"/>
      <c r="I29" s="308"/>
      <c r="J29" s="306"/>
      <c r="K29" s="306"/>
      <c r="L29" s="308"/>
      <c r="M29" s="306"/>
      <c r="N29" s="306"/>
      <c r="O29" s="306"/>
      <c r="P29" s="306"/>
      <c r="Q29" s="306"/>
      <c r="R29" s="309"/>
      <c r="S29" s="310"/>
      <c r="T29" s="307"/>
      <c r="U29" s="320"/>
      <c r="V29" s="320"/>
      <c r="W29" s="323"/>
      <c r="X29" s="323"/>
      <c r="Y29" s="323"/>
      <c r="Z29" s="323"/>
      <c r="AA29" s="414"/>
    </row>
    <row r="30" spans="1:27" ht="12" customHeight="1" x14ac:dyDescent="0.35">
      <c r="A30" s="416">
        <v>21</v>
      </c>
      <c r="B30" s="91" t="str">
        <f t="shared" ca="1" si="36"/>
        <v>Waterkracht</v>
      </c>
      <c r="C30" s="6" t="str">
        <f t="shared" ca="1" si="37"/>
        <v>kWh</v>
      </c>
      <c r="D30" s="6" t="str">
        <f t="shared" ca="1" si="38"/>
        <v>Elektriciteit</v>
      </c>
      <c r="E30" s="314">
        <f t="shared" ca="1" si="45"/>
        <v>0.17499999999999999</v>
      </c>
      <c r="F30" s="425" t="str">
        <f t="shared" ca="1" si="39"/>
        <v>1.1</v>
      </c>
      <c r="G30" s="6">
        <f t="shared" ca="1" si="40"/>
        <v>4.8000000000000001E-2</v>
      </c>
      <c r="H30" s="8">
        <f t="shared" ca="1" si="46"/>
        <v>7.0000000000000007E-2</v>
      </c>
      <c r="I30" s="336">
        <f ca="1">ROUND(INDIRECT(CONCATENATE("'",$A30,"'!$C$168")),I$5)</f>
        <v>7.0000000000000007E-2</v>
      </c>
      <c r="J30" s="314">
        <f ca="1">ROUND(INDIRECT(CONCATENATE("'",$A30,"'!$C$170")),J$5)</f>
        <v>0</v>
      </c>
      <c r="K30" s="314">
        <f t="shared" ref="K30" ca="1" si="47">ROUND(INDIRECT(CONCATENATE("'",$A30,"'!$C$170")),K$5)</f>
        <v>0</v>
      </c>
      <c r="L30" s="8">
        <f t="shared" ca="1" si="41"/>
        <v>0</v>
      </c>
      <c r="M30" s="314">
        <f ca="1">E30*G30/1000+H30</f>
        <v>7.0008400000000012E-2</v>
      </c>
      <c r="N30" s="314">
        <f ca="1">INDIRECT(CONCATENATE("'",$A30,"'!$C$164"))</f>
        <v>4.6624735683304261E-2</v>
      </c>
      <c r="O30" s="6">
        <f ca="1">INDIRECT(CONCATENATE("'",$A30,"'!$C$170"))</f>
        <v>0</v>
      </c>
      <c r="P30" s="6">
        <f ca="1">INDIRECT(CONCATENATE("'",$A30,"'!$C$170"))</f>
        <v>0</v>
      </c>
      <c r="Q30" s="6">
        <f t="shared" ca="1" si="42"/>
        <v>0</v>
      </c>
      <c r="R30" s="89">
        <f ca="1">ROUND(INDIRECT(CONCATENATE("'",$A30,"'!$C$160")),R$5)</f>
        <v>5000</v>
      </c>
      <c r="S30" s="90">
        <f t="shared" ca="1" si="43"/>
        <v>99390.9</v>
      </c>
      <c r="T30" s="7">
        <f t="shared" ca="1" si="44"/>
        <v>0</v>
      </c>
      <c r="U30" s="318">
        <f ca="1">INDIRECT(CONCATENATE("'",$A30,"'!$C$15"))</f>
        <v>0</v>
      </c>
      <c r="V30" s="318">
        <f ca="1">INDIRECT(CONCATENATE("'",$A30,"'!$C$16"))</f>
        <v>0</v>
      </c>
      <c r="W30" s="321" t="str">
        <f t="shared" ca="1" si="35"/>
        <v>n.v.t.</v>
      </c>
      <c r="X30" s="321" t="str">
        <f t="shared" ca="1" si="21"/>
        <v>n.v.t.</v>
      </c>
      <c r="Y30" s="332">
        <f ca="1">INDIRECT(CONCATENATE("'",$A30,"'!$C$169"))</f>
        <v>7.4999999999999997E-2</v>
      </c>
      <c r="Z30" s="324">
        <f t="shared" ca="1" si="22"/>
        <v>7.4999999999999997E-2</v>
      </c>
      <c r="AA30" s="413" t="str">
        <f ca="1">INDIRECT(CONCATENATE("'",$A30,"'!$C$167"))</f>
        <v>n.v.t.</v>
      </c>
    </row>
  </sheetData>
  <mergeCells count="1">
    <mergeCell ref="A2:A6"/>
  </mergeCells>
  <conditionalFormatting sqref="S7">
    <cfRule type="colorScale" priority="1">
      <colorScale>
        <cfvo type="num" val="&quot;&lt;0&quot;"/>
        <cfvo type="num" val="&quot;&gt;0&quot;"/>
        <color theme="9" tint="0.39997558519241921"/>
        <color theme="4" tint="0.79998168889431442"/>
      </colorScale>
    </cfRule>
  </conditionalFormatting>
  <conditionalFormatting sqref="S8:S30">
    <cfRule type="colorScale" priority="70">
      <colorScale>
        <cfvo type="num" val="&quot;&lt;0&quot;"/>
        <cfvo type="num" val="&quot;&gt;0&quot;"/>
        <color theme="9" tint="0.39997558519241921"/>
        <color theme="4" tint="0.79998168889431442"/>
      </colorScale>
    </cfRule>
  </conditionalFormatting>
  <hyperlinks>
    <hyperlink ref="A8:B8" location="'1'!A1" display="'1'!A1" xr:uid="{AB89543A-29D0-4FD8-A202-EF934F5504D7}"/>
    <hyperlink ref="A9:B9" location="'2'!A1" display="'2'!A1" xr:uid="{3CE2E614-0D2B-4018-85B6-999BA6D2F839}"/>
    <hyperlink ref="A10:B10" location="'3'!A1" display="'3'!A1" xr:uid="{0C182CEB-3FEB-4AB4-9D7B-0E90AC46C802}"/>
    <hyperlink ref="A11:B11" location="'4'!A1" display="'4'!A1" xr:uid="{BB7C0F98-4D30-4E69-A68A-5979B3C20FF2}"/>
    <hyperlink ref="A13:B13" location="'5'!A1" display="'5'!A1" xr:uid="{F5191930-EEF9-4762-B327-D4DE52166B38}"/>
    <hyperlink ref="A16:B16" location="'6'!A1" display="'6'!A1" xr:uid="{96D264AE-5E1D-4F47-85E1-F0C1B0F4D988}"/>
    <hyperlink ref="A17:B17" location="'7'!A1" display="'7'!A1" xr:uid="{835BAB68-6F69-47A2-92BA-25B23CABA44E}"/>
    <hyperlink ref="A18:B18" location="'8'!A1" display="'8'!A1" xr:uid="{36187AF5-39E1-491D-8A28-57658997BD0B}"/>
    <hyperlink ref="A19:B19" location="'9'!A1" display="'9'!A1" xr:uid="{2E9E7F44-1C25-4721-91AA-ED0D2DB359D0}"/>
    <hyperlink ref="A20:B20" location="'10'!A1" display="'10'!A1" xr:uid="{6D2584EC-B8E8-44F8-8934-DB478EB8E654}"/>
    <hyperlink ref="A21:B21" location="'11'!A1" display="'11'!A1" xr:uid="{1412399A-D967-4384-BAC0-A8C5B01C1A7A}"/>
    <hyperlink ref="A22:B22" location="'12'!A1" display="'12'!A1" xr:uid="{FFBD55B4-174F-481F-8B47-610BE7BE0EF0}"/>
    <hyperlink ref="A23:B23" location="'13'!A1" display="'13'!A1" xr:uid="{14794332-633F-42FC-88F2-5EA3973DB5F1}"/>
    <hyperlink ref="A24:B24" location="'14'!A1" display="'14'!A1" xr:uid="{3204333A-6E41-4EA2-BBC5-49E90399F16D}"/>
    <hyperlink ref="A25:B25" location="'15'!A1" display="'15'!A1" xr:uid="{F339378F-59A0-41F1-BB45-9C84F7D45D43}"/>
    <hyperlink ref="A26:B26" location="'16'!A1" display="'16'!A1" xr:uid="{15F9F035-35B5-469D-867F-1475A3469849}"/>
    <hyperlink ref="A27:B27" location="'17'!A1" display="'17'!A1" xr:uid="{5FF2796D-7BD4-43B0-B890-A4FA5FE19F2F}"/>
    <hyperlink ref="A28:B28" location="'18'!A1" display="'18'!A1" xr:uid="{9A8BE09C-E1D3-41AB-89EE-F568ECE1383C}"/>
    <hyperlink ref="A30:B30" location="'19'!A1" display="'19'!A1" xr:uid="{7A4AAB87-7186-4274-8BF1-519A23C9CA4E}"/>
    <hyperlink ref="A12:B12" location="'4'!A1" display="'4'!A1" xr:uid="{77E5D957-5CD2-4954-A51E-6BD37941CCDD}"/>
    <hyperlink ref="A14:B14" location="'5'!A1" display="'5'!A1" xr:uid="{A2F14D65-4C58-42FB-9DEB-930402CBE3D5}"/>
    <hyperlink ref="A12" location="'5'!A1" display="5" xr:uid="{E9405693-A34A-4841-A6FA-6E31D8867E3D}"/>
    <hyperlink ref="A13" location="'6'!A1" display="6" xr:uid="{5A4328EB-20D0-4F7C-AAC6-CEF84608BED5}"/>
    <hyperlink ref="A14" location="'7'!A1" display="'7'!A1" xr:uid="{D1C79BCC-3039-4391-9D00-24C88242F02C}"/>
    <hyperlink ref="A16" location="'8'!A1" display="8" xr:uid="{5C17D32D-B91E-45BC-AFF6-31D1618BB6C6}"/>
    <hyperlink ref="A17" location="'9'!A1" display="9" xr:uid="{9C57E14A-7142-45CC-84C1-BD5C573DF0F7}"/>
    <hyperlink ref="A18" location="'10'!A1" display="10" xr:uid="{FA70A262-D4B5-4844-904B-7AE46922A983}"/>
    <hyperlink ref="A19" location="'11'!A1" display="11" xr:uid="{88884CD1-A2BA-4915-AF40-33EB0734CE06}"/>
    <hyperlink ref="A20" location="'12'!A1" display="12" xr:uid="{8A354887-DFBF-464B-9526-A3EAE3FC60FF}"/>
    <hyperlink ref="A21" location="'13'!A1" display="13" xr:uid="{03D33BF7-7FA0-4983-8330-7445475438E4}"/>
    <hyperlink ref="A22" location="'14'!A1" display="14" xr:uid="{CE45036F-9DB7-4EFB-ABD8-FA8A0C42903A}"/>
    <hyperlink ref="A23" location="'15'!A1" display="15" xr:uid="{294FED47-A6F4-4E85-AA38-D80D46F91CB2}"/>
    <hyperlink ref="A24" location="'16'!A1" display="16" xr:uid="{88531D93-2223-43EC-9552-71F257A6C095}"/>
    <hyperlink ref="A25" location="'17'!A1" display="17" xr:uid="{9441A7BC-BAEC-41B5-A1C8-DC3C5B136648}"/>
    <hyperlink ref="A26" location="'18'!A1" display="18" xr:uid="{BF1BE83C-CD7F-48E0-A626-E414D52CB132}"/>
    <hyperlink ref="A27" location="'19'!A1" display="19" xr:uid="{06D1B4E4-A23C-464B-9F1C-96289F682101}"/>
    <hyperlink ref="A28" location="'20'!A1" display="20" xr:uid="{52EA5950-3E5D-4D68-8288-7020C22E76C8}"/>
    <hyperlink ref="A30" location="'21'!A1" display="21" xr:uid="{6F09218D-CF22-4B24-94D3-9D7EF0617234}"/>
    <hyperlink ref="B12" location="'5'!A1" display="'5'!A1" xr:uid="{EB273953-2FB8-4D98-AE04-BB97D2093332}"/>
    <hyperlink ref="B13" location="'6'!A1" display="'6'!A1" xr:uid="{DE8D8F59-60B5-411F-9DDA-3B5663FB066E}"/>
    <hyperlink ref="B14" location="'7'!A1" display="'7'!A1" xr:uid="{185475C5-0BDB-43C2-8FD6-D54C393D8B13}"/>
    <hyperlink ref="B16" location="'8'!A1" display="'8'!A1" xr:uid="{50A028D9-1648-4BAB-BB4B-BC5B3D80C489}"/>
    <hyperlink ref="B17" location="'9'!A1" display="'9'!A1" xr:uid="{9BA431F5-0961-4161-B8A9-4FB3E8C87AC3}"/>
    <hyperlink ref="B18" location="'10'!A1" display="'10'!A1" xr:uid="{024306A0-5E6D-4095-8EBF-54606E3F13B9}"/>
    <hyperlink ref="B19" location="'11'!A1" display="'11'!A1" xr:uid="{78195131-EC52-4819-86CF-8B134B419282}"/>
    <hyperlink ref="B20" location="'12'!A1" display="'12'!A1" xr:uid="{A713E920-85E3-4864-95EE-546300C9B36B}"/>
    <hyperlink ref="B21" location="'13'!A1" display="'13'!A1" xr:uid="{6F738E9F-F284-4285-8E84-FC2FA061ADF6}"/>
    <hyperlink ref="B22" location="'14'!A1" display="'14'!A1" xr:uid="{9ED611E1-A6ED-4752-A7A9-8DE2E56C0149}"/>
    <hyperlink ref="B23" location="'15'!A1" display="'15'!A1" xr:uid="{3EFEBC82-9B39-402F-BA0F-3AF2BAE1524D}"/>
    <hyperlink ref="B24" location="'16'!A1" display="'16'!A1" xr:uid="{D777F396-CA85-429C-A8B4-E118CDFC58C4}"/>
    <hyperlink ref="B25" location="'17'!A1" display="'17'!A1" xr:uid="{8D96E158-08B8-45CA-B107-2078C0883C7D}"/>
    <hyperlink ref="B26" location="'18'!A1" display="'18'!A1" xr:uid="{CE243C49-710A-4C21-8E79-0FE3A19107BA}"/>
    <hyperlink ref="B27" location="'19'!A1" display="'19'!A1" xr:uid="{451DEF54-1CF9-4E70-9021-7E5EA8834E1F}"/>
    <hyperlink ref="B28" location="'20'!A1" display="'20'!A1" xr:uid="{C3A041A4-14C1-4C35-973E-287D4A93FD25}"/>
    <hyperlink ref="B30" location="'21'!A1" display="'21'!A1" xr:uid="{377F5B4C-0CE8-4151-99FD-E861573254CA}"/>
  </hyperlinks>
  <pageMargins left="0.25" right="0.25" top="0.75" bottom="0.75" header="0.3" footer="0.3"/>
  <pageSetup paperSize="8" scale="36" fitToHeight="0"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287DA-AA9B-4F21-8B67-9CA30EAD6F6B}">
  <sheetPr codeName="Sheet106">
    <tabColor theme="5" tint="0.39997558519241921"/>
    <pageSetUpPr fitToPage="1"/>
  </sheetPr>
  <dimension ref="A1:AR198"/>
  <sheetViews>
    <sheetView showGridLines="0" topLeftCell="A122"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521</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6.6000000000000003E-2</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160.10978956999085</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IFERROR(INDEX(Correcties!$A$1:$I$301,MATCH('17'!C12,Correcties!$A$1:$A$301,0),5),"")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4500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4500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2950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1580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7.1597699999999991</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14.9</v>
      </c>
      <c r="D43" s="99" t="str">
        <f>CONCATENATE("Euro/",$C$8,"/jaar")</f>
        <v>Euro/kW/jaar</v>
      </c>
      <c r="E43" s="447" t="s">
        <v>357</v>
      </c>
      <c r="F43" s="447"/>
      <c r="G43" s="447"/>
      <c r="H43" s="447"/>
      <c r="I43" s="447"/>
      <c r="J43" s="447"/>
      <c r="K43" s="447"/>
      <c r="L43" s="447"/>
      <c r="M43" s="448"/>
    </row>
    <row r="44" spans="2:13" x14ac:dyDescent="0.25">
      <c r="B44" s="96" t="s">
        <v>359</v>
      </c>
      <c r="C44" s="348">
        <f>(C42*C21+C43*SUM(C26,C28))/1000</f>
        <v>67.05</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1.26E-2</v>
      </c>
      <c r="D48" s="99" t="str">
        <f>CONCATENATE("Euro/",$C$7)</f>
        <v>Euro/kWh</v>
      </c>
      <c r="E48" s="447"/>
      <c r="F48" s="447"/>
      <c r="G48" s="447"/>
      <c r="H48" s="447"/>
      <c r="I48" s="447"/>
      <c r="J48" s="447"/>
      <c r="K48" s="447"/>
      <c r="L48" s="447"/>
      <c r="M48" s="448"/>
    </row>
    <row r="49" spans="2:13" x14ac:dyDescent="0.25">
      <c r="B49" s="97" t="s">
        <v>366</v>
      </c>
      <c r="C49" s="142">
        <f>SUM(C45:C48)</f>
        <v>1.26E-2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2950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199125000</v>
      </c>
      <c r="D84" s="98" t="str">
        <f>C7</f>
        <v>kWh</v>
      </c>
      <c r="E84" s="447"/>
      <c r="F84" s="447"/>
      <c r="G84" s="447"/>
      <c r="H84" s="447"/>
      <c r="I84" s="447"/>
      <c r="J84" s="447"/>
      <c r="K84" s="447"/>
      <c r="L84" s="447"/>
      <c r="M84" s="448"/>
    </row>
    <row r="85" spans="2:13" x14ac:dyDescent="0.25">
      <c r="B85" s="113" t="s">
        <v>413</v>
      </c>
      <c r="C85" s="145">
        <f>IF(C77=0,SUM(E118:INDEX(E118:AR118,1,C73)),SUM(E118:INDEX(E118:AR118,1,C77)))</f>
        <v>265500000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0.04</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-7159769.9999999991</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13275000</v>
      </c>
      <c r="F115" s="379">
        <f t="shared" si="4"/>
        <v>13275000</v>
      </c>
      <c r="G115" s="379">
        <f t="shared" si="4"/>
        <v>13275000</v>
      </c>
      <c r="H115" s="379">
        <f t="shared" si="4"/>
        <v>13275000</v>
      </c>
      <c r="I115" s="379">
        <f t="shared" si="4"/>
        <v>13275000</v>
      </c>
      <c r="J115" s="379">
        <f t="shared" si="4"/>
        <v>13275000</v>
      </c>
      <c r="K115" s="379">
        <f t="shared" si="4"/>
        <v>13275000</v>
      </c>
      <c r="L115" s="379">
        <f t="shared" si="4"/>
        <v>13275000</v>
      </c>
      <c r="M115" s="379">
        <f t="shared" si="4"/>
        <v>13275000</v>
      </c>
      <c r="N115" s="379">
        <f t="shared" si="4"/>
        <v>13275000</v>
      </c>
      <c r="O115" s="379">
        <f t="shared" si="4"/>
        <v>13275000</v>
      </c>
      <c r="P115" s="379">
        <f t="shared" si="4"/>
        <v>13275000</v>
      </c>
      <c r="Q115" s="379">
        <f t="shared" si="4"/>
        <v>13275000</v>
      </c>
      <c r="R115" s="379">
        <f t="shared" si="4"/>
        <v>13275000</v>
      </c>
      <c r="S115" s="379">
        <f t="shared" si="4"/>
        <v>13275000</v>
      </c>
      <c r="T115" s="379">
        <f t="shared" si="4"/>
        <v>13275000</v>
      </c>
      <c r="U115" s="379">
        <f t="shared" si="4"/>
        <v>13275000</v>
      </c>
      <c r="V115" s="379">
        <f t="shared" si="4"/>
        <v>13275000</v>
      </c>
      <c r="W115" s="379">
        <f t="shared" si="4"/>
        <v>13275000</v>
      </c>
      <c r="X115" s="379">
        <f t="shared" si="4"/>
        <v>13275000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13275000</v>
      </c>
      <c r="F118" s="150">
        <f t="shared" ref="F118:AR118" si="7">SUM(F115:F117)</f>
        <v>13275000</v>
      </c>
      <c r="G118" s="150">
        <f t="shared" si="7"/>
        <v>13275000</v>
      </c>
      <c r="H118" s="150">
        <f t="shared" si="7"/>
        <v>13275000</v>
      </c>
      <c r="I118" s="150">
        <f t="shared" si="7"/>
        <v>13275000</v>
      </c>
      <c r="J118" s="150">
        <f t="shared" si="7"/>
        <v>13275000</v>
      </c>
      <c r="K118" s="150">
        <f t="shared" si="7"/>
        <v>13275000</v>
      </c>
      <c r="L118" s="150">
        <f t="shared" si="7"/>
        <v>13275000</v>
      </c>
      <c r="M118" s="150">
        <f t="shared" si="7"/>
        <v>13275000</v>
      </c>
      <c r="N118" s="150">
        <f t="shared" si="7"/>
        <v>13275000</v>
      </c>
      <c r="O118" s="150">
        <f t="shared" si="7"/>
        <v>13275000</v>
      </c>
      <c r="P118" s="150">
        <f t="shared" si="7"/>
        <v>13275000</v>
      </c>
      <c r="Q118" s="150">
        <f t="shared" si="7"/>
        <v>13275000</v>
      </c>
      <c r="R118" s="150">
        <f t="shared" si="7"/>
        <v>13275000</v>
      </c>
      <c r="S118" s="150">
        <f t="shared" si="7"/>
        <v>13275000</v>
      </c>
      <c r="T118" s="150">
        <f t="shared" si="7"/>
        <v>13275000</v>
      </c>
      <c r="U118" s="150">
        <f t="shared" si="7"/>
        <v>13275000</v>
      </c>
      <c r="V118" s="150">
        <f t="shared" si="7"/>
        <v>13275000</v>
      </c>
      <c r="W118" s="150">
        <f t="shared" si="7"/>
        <v>13275000</v>
      </c>
      <c r="X118" s="150">
        <f t="shared" si="7"/>
        <v>13275000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-234315</v>
      </c>
      <c r="F120" s="379">
        <f t="shared" ref="F120:AR120" si="8">IF(F112&gt;$C$73,0,-F109*(($C$42*$C$21+$C$43*SUM($C$26,$C$28))+F118*$C$49))+IF($C$101=F112,$D$101*F109,0)+IF($C$102=F112,$D$102*F109,0)+IF($C$103=F112,$D$103*F109,0)</f>
        <v>-239001.30000000002</v>
      </c>
      <c r="G120" s="379">
        <f t="shared" si="8"/>
        <v>-243781.326</v>
      </c>
      <c r="H120" s="379">
        <f t="shared" si="8"/>
        <v>-248656.95251999999</v>
      </c>
      <c r="I120" s="379">
        <f t="shared" si="8"/>
        <v>-253630.09157039999</v>
      </c>
      <c r="J120" s="379">
        <f t="shared" si="8"/>
        <v>-258702.69340180801</v>
      </c>
      <c r="K120" s="379">
        <f t="shared" si="8"/>
        <v>-263876.74726984417</v>
      </c>
      <c r="L120" s="379">
        <f t="shared" si="8"/>
        <v>-269154.28221524099</v>
      </c>
      <c r="M120" s="379">
        <f t="shared" si="8"/>
        <v>-274537.36785954586</v>
      </c>
      <c r="N120" s="379">
        <f t="shared" si="8"/>
        <v>-280028.11521673674</v>
      </c>
      <c r="O120" s="379">
        <f t="shared" si="8"/>
        <v>-285628.67752107151</v>
      </c>
      <c r="P120" s="379">
        <f t="shared" si="8"/>
        <v>-291341.25107149291</v>
      </c>
      <c r="Q120" s="379">
        <f t="shared" si="8"/>
        <v>-297168.07609292277</v>
      </c>
      <c r="R120" s="379">
        <f t="shared" si="8"/>
        <v>-303111.43761478126</v>
      </c>
      <c r="S120" s="379">
        <f t="shared" si="8"/>
        <v>-309173.66636707686</v>
      </c>
      <c r="T120" s="379">
        <f t="shared" si="8"/>
        <v>-315357.13969441835</v>
      </c>
      <c r="U120" s="379">
        <f t="shared" si="8"/>
        <v>-321664.28248830675</v>
      </c>
      <c r="V120" s="379">
        <f t="shared" si="8"/>
        <v>-328097.56813807291</v>
      </c>
      <c r="W120" s="379">
        <f t="shared" si="8"/>
        <v>-334659.51950083434</v>
      </c>
      <c r="X120" s="379">
        <f t="shared" si="8"/>
        <v>-341352.70989085099</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780761.77575774805</v>
      </c>
      <c r="U127" s="379">
        <f t="shared" si="15"/>
        <v>796377.01127290318</v>
      </c>
      <c r="V127" s="379">
        <f t="shared" si="15"/>
        <v>812304.55149836128</v>
      </c>
      <c r="W127" s="379">
        <f t="shared" si="15"/>
        <v>828550.64252832835</v>
      </c>
      <c r="X127" s="379">
        <f t="shared" si="15"/>
        <v>845121.655378895</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780761.77575774805</v>
      </c>
      <c r="U130" s="379">
        <f t="shared" si="17"/>
        <v>796377.01127290318</v>
      </c>
      <c r="V130" s="379">
        <f t="shared" si="17"/>
        <v>812304.55149836128</v>
      </c>
      <c r="W130" s="379">
        <f t="shared" si="17"/>
        <v>828550.64252832835</v>
      </c>
      <c r="X130" s="379">
        <f t="shared" si="17"/>
        <v>845121.655378895</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-234315</v>
      </c>
      <c r="F131" s="379">
        <f t="shared" si="18"/>
        <v>-239001.30000000002</v>
      </c>
      <c r="G131" s="379">
        <f t="shared" si="18"/>
        <v>-243781.326</v>
      </c>
      <c r="H131" s="379">
        <f t="shared" si="18"/>
        <v>-248656.95251999999</v>
      </c>
      <c r="I131" s="379">
        <f t="shared" si="18"/>
        <v>-253630.09157039999</v>
      </c>
      <c r="J131" s="379">
        <f t="shared" si="18"/>
        <v>-258702.69340180801</v>
      </c>
      <c r="K131" s="379">
        <f t="shared" si="18"/>
        <v>-263876.74726984417</v>
      </c>
      <c r="L131" s="379">
        <f t="shared" si="18"/>
        <v>-269154.28221524099</v>
      </c>
      <c r="M131" s="379">
        <f t="shared" si="18"/>
        <v>-274537.36785954586</v>
      </c>
      <c r="N131" s="379">
        <f t="shared" si="18"/>
        <v>-280028.11521673674</v>
      </c>
      <c r="O131" s="379">
        <f t="shared" si="18"/>
        <v>-285628.67752107151</v>
      </c>
      <c r="P131" s="379">
        <f t="shared" si="18"/>
        <v>-291341.25107149291</v>
      </c>
      <c r="Q131" s="379">
        <f t="shared" si="18"/>
        <v>-297168.07609292277</v>
      </c>
      <c r="R131" s="379">
        <f t="shared" si="18"/>
        <v>-303111.43761478126</v>
      </c>
      <c r="S131" s="379">
        <f t="shared" si="18"/>
        <v>-309173.66636707686</v>
      </c>
      <c r="T131" s="379">
        <f t="shared" si="18"/>
        <v>-315357.13969441835</v>
      </c>
      <c r="U131" s="379">
        <f t="shared" si="18"/>
        <v>-321664.28248830675</v>
      </c>
      <c r="V131" s="379">
        <f t="shared" si="18"/>
        <v>-328097.56813807291</v>
      </c>
      <c r="W131" s="379">
        <f t="shared" si="18"/>
        <v>-334659.51950083434</v>
      </c>
      <c r="X131" s="379">
        <f t="shared" si="18"/>
        <v>-341352.70989085099</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-234315</v>
      </c>
      <c r="F132" s="386">
        <f t="shared" ref="F132:AR132" si="19">SUM(F130:F131)</f>
        <v>-239001.30000000002</v>
      </c>
      <c r="G132" s="386">
        <f t="shared" si="19"/>
        <v>-243781.326</v>
      </c>
      <c r="H132" s="386">
        <f t="shared" si="19"/>
        <v>-248656.95251999999</v>
      </c>
      <c r="I132" s="386">
        <f t="shared" si="19"/>
        <v>-253630.09157039999</v>
      </c>
      <c r="J132" s="386">
        <f t="shared" si="19"/>
        <v>-258702.69340180801</v>
      </c>
      <c r="K132" s="386">
        <f t="shared" si="19"/>
        <v>-263876.74726984417</v>
      </c>
      <c r="L132" s="386">
        <f t="shared" si="19"/>
        <v>-269154.28221524099</v>
      </c>
      <c r="M132" s="386">
        <f t="shared" si="19"/>
        <v>-274537.36785954586</v>
      </c>
      <c r="N132" s="386">
        <f t="shared" si="19"/>
        <v>-280028.11521673674</v>
      </c>
      <c r="O132" s="386">
        <f t="shared" si="19"/>
        <v>-285628.67752107151</v>
      </c>
      <c r="P132" s="386">
        <f t="shared" si="19"/>
        <v>-291341.25107149291</v>
      </c>
      <c r="Q132" s="386">
        <f t="shared" si="19"/>
        <v>-297168.07609292277</v>
      </c>
      <c r="R132" s="386">
        <f t="shared" si="19"/>
        <v>-303111.43761478126</v>
      </c>
      <c r="S132" s="386">
        <f t="shared" si="19"/>
        <v>-309173.66636707686</v>
      </c>
      <c r="T132" s="386">
        <f t="shared" si="19"/>
        <v>465404.6360633297</v>
      </c>
      <c r="U132" s="386">
        <f t="shared" si="19"/>
        <v>474712.72878459643</v>
      </c>
      <c r="V132" s="386">
        <f t="shared" si="19"/>
        <v>484206.98336028837</v>
      </c>
      <c r="W132" s="386">
        <f t="shared" si="19"/>
        <v>493891.123027494</v>
      </c>
      <c r="X132" s="386">
        <f t="shared" si="19"/>
        <v>503768.945488044</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-477317.99999999994</v>
      </c>
      <c r="F134" s="379">
        <f t="shared" si="20"/>
        <v>-477317.99999999994</v>
      </c>
      <c r="G134" s="379">
        <f t="shared" si="20"/>
        <v>-477317.99999999994</v>
      </c>
      <c r="H134" s="379">
        <f t="shared" si="20"/>
        <v>-477317.99999999994</v>
      </c>
      <c r="I134" s="379">
        <f t="shared" si="20"/>
        <v>-477317.99999999994</v>
      </c>
      <c r="J134" s="379">
        <f t="shared" si="20"/>
        <v>-477317.99999999994</v>
      </c>
      <c r="K134" s="379">
        <f t="shared" si="20"/>
        <v>-477317.99999999994</v>
      </c>
      <c r="L134" s="379">
        <f t="shared" si="20"/>
        <v>-477317.99999999994</v>
      </c>
      <c r="M134" s="379">
        <f t="shared" si="20"/>
        <v>-477317.99999999994</v>
      </c>
      <c r="N134" s="379">
        <f t="shared" si="20"/>
        <v>-477317.99999999994</v>
      </c>
      <c r="O134" s="379">
        <f t="shared" si="20"/>
        <v>-477317.99999999994</v>
      </c>
      <c r="P134" s="379">
        <f t="shared" si="20"/>
        <v>-477317.99999999994</v>
      </c>
      <c r="Q134" s="379">
        <f t="shared" si="20"/>
        <v>-477317.99999999994</v>
      </c>
      <c r="R134" s="379">
        <f t="shared" si="20"/>
        <v>-477317.99999999994</v>
      </c>
      <c r="S134" s="379">
        <f t="shared" si="20"/>
        <v>-477317.99999999994</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-200473.55999999997</v>
      </c>
      <c r="F135" s="379">
        <f t="shared" si="21"/>
        <v>-190461.68981831361</v>
      </c>
      <c r="G135" s="379">
        <f t="shared" si="21"/>
        <v>-180049.34482935988</v>
      </c>
      <c r="H135" s="379">
        <f t="shared" si="21"/>
        <v>-169220.50604084795</v>
      </c>
      <c r="I135" s="379">
        <f t="shared" si="21"/>
        <v>-157958.51370079556</v>
      </c>
      <c r="J135" s="379">
        <f t="shared" si="21"/>
        <v>-146246.04166714105</v>
      </c>
      <c r="K135" s="379">
        <f t="shared" si="21"/>
        <v>-134065.07075214037</v>
      </c>
      <c r="L135" s="379">
        <f t="shared" si="21"/>
        <v>-121396.86100053968</v>
      </c>
      <c r="M135" s="379">
        <f t="shared" si="21"/>
        <v>-108221.92285887497</v>
      </c>
      <c r="N135" s="379">
        <f t="shared" si="21"/>
        <v>-94519.987191543638</v>
      </c>
      <c r="O135" s="379">
        <f t="shared" si="21"/>
        <v>-80269.97409751908</v>
      </c>
      <c r="P135" s="379">
        <f t="shared" si="21"/>
        <v>-65449.960479733534</v>
      </c>
      <c r="Q135" s="379">
        <f t="shared" si="21"/>
        <v>-50037.146317236562</v>
      </c>
      <c r="R135" s="379">
        <f t="shared" si="21"/>
        <v>-34007.819588239712</v>
      </c>
      <c r="S135" s="379">
        <f t="shared" si="21"/>
        <v>-17337.319790082995</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-250296.75454215793</v>
      </c>
      <c r="F136" s="379">
        <f t="shared" si="22"/>
        <v>-260308.6247238442</v>
      </c>
      <c r="G136" s="379">
        <f t="shared" si="22"/>
        <v>-270720.9697127979</v>
      </c>
      <c r="H136" s="379">
        <f t="shared" si="22"/>
        <v>-281549.80850130989</v>
      </c>
      <c r="I136" s="379">
        <f t="shared" si="22"/>
        <v>-292811.80084136227</v>
      </c>
      <c r="J136" s="379">
        <f t="shared" si="22"/>
        <v>-304524.27287501673</v>
      </c>
      <c r="K136" s="379">
        <f t="shared" si="22"/>
        <v>-316705.24379001738</v>
      </c>
      <c r="L136" s="379">
        <f t="shared" si="22"/>
        <v>-329373.45354161813</v>
      </c>
      <c r="M136" s="379">
        <f t="shared" si="22"/>
        <v>-342548.39168328285</v>
      </c>
      <c r="N136" s="379">
        <f t="shared" si="22"/>
        <v>-356250.32735061413</v>
      </c>
      <c r="O136" s="379">
        <f t="shared" si="22"/>
        <v>-370500.34044463874</v>
      </c>
      <c r="P136" s="379">
        <f t="shared" si="22"/>
        <v>-385320.35406242422</v>
      </c>
      <c r="Q136" s="379">
        <f t="shared" si="22"/>
        <v>-400733.16822492122</v>
      </c>
      <c r="R136" s="379">
        <f t="shared" si="22"/>
        <v>-416762.4949539181</v>
      </c>
      <c r="S136" s="379">
        <f t="shared" si="22"/>
        <v>-433432.99475207488</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-450770.31454215792</v>
      </c>
      <c r="F137" s="386">
        <f t="shared" ref="F137:AR137" si="23">SUM(F135,F136)</f>
        <v>-450770.31454215781</v>
      </c>
      <c r="G137" s="386">
        <f t="shared" si="23"/>
        <v>-450770.31454215781</v>
      </c>
      <c r="H137" s="386">
        <f t="shared" si="23"/>
        <v>-450770.31454215781</v>
      </c>
      <c r="I137" s="386">
        <f t="shared" si="23"/>
        <v>-450770.31454215781</v>
      </c>
      <c r="J137" s="386">
        <f t="shared" si="23"/>
        <v>-450770.31454215781</v>
      </c>
      <c r="K137" s="386">
        <f t="shared" si="23"/>
        <v>-450770.31454215775</v>
      </c>
      <c r="L137" s="386">
        <f t="shared" si="23"/>
        <v>-450770.31454215781</v>
      </c>
      <c r="M137" s="386">
        <f t="shared" si="23"/>
        <v>-450770.31454215781</v>
      </c>
      <c r="N137" s="386">
        <f t="shared" si="23"/>
        <v>-450770.31454215775</v>
      </c>
      <c r="O137" s="386">
        <f t="shared" si="23"/>
        <v>-450770.31454215781</v>
      </c>
      <c r="P137" s="386">
        <f t="shared" si="23"/>
        <v>-450770.31454215775</v>
      </c>
      <c r="Q137" s="386">
        <f t="shared" si="23"/>
        <v>-450770.31454215781</v>
      </c>
      <c r="R137" s="386">
        <f t="shared" si="23"/>
        <v>-450770.31454215781</v>
      </c>
      <c r="S137" s="386">
        <f t="shared" si="23"/>
        <v>-450770.31454215787</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-912106.55999999994</v>
      </c>
      <c r="F139" s="379">
        <f t="shared" ref="F139:AR139" si="24">F132+F134+F135</f>
        <v>-906780.98981831351</v>
      </c>
      <c r="G139" s="379">
        <f t="shared" si="24"/>
        <v>-901148.67082935979</v>
      </c>
      <c r="H139" s="379">
        <f t="shared" si="24"/>
        <v>-895195.45856084791</v>
      </c>
      <c r="I139" s="379">
        <f t="shared" si="24"/>
        <v>-888906.60527119553</v>
      </c>
      <c r="J139" s="379">
        <f t="shared" si="24"/>
        <v>-882266.73506894894</v>
      </c>
      <c r="K139" s="379">
        <f t="shared" si="24"/>
        <v>-875259.81802198454</v>
      </c>
      <c r="L139" s="379">
        <f t="shared" si="24"/>
        <v>-867869.14321578061</v>
      </c>
      <c r="M139" s="379">
        <f t="shared" si="24"/>
        <v>-860077.29071842087</v>
      </c>
      <c r="N139" s="379">
        <f t="shared" si="24"/>
        <v>-851866.10240828036</v>
      </c>
      <c r="O139" s="379">
        <f t="shared" si="24"/>
        <v>-843216.65161859046</v>
      </c>
      <c r="P139" s="379">
        <f t="shared" si="24"/>
        <v>-834109.21155122644</v>
      </c>
      <c r="Q139" s="379">
        <f t="shared" si="24"/>
        <v>-824523.2224101593</v>
      </c>
      <c r="R139" s="379">
        <f t="shared" si="24"/>
        <v>-814437.25720302085</v>
      </c>
      <c r="S139" s="379">
        <f t="shared" si="24"/>
        <v>-803828.98615715979</v>
      </c>
      <c r="T139" s="379">
        <f t="shared" si="24"/>
        <v>465404.6360633297</v>
      </c>
      <c r="U139" s="379">
        <f t="shared" si="24"/>
        <v>474712.72878459643</v>
      </c>
      <c r="V139" s="379">
        <f t="shared" si="24"/>
        <v>484206.98336028837</v>
      </c>
      <c r="W139" s="379">
        <f t="shared" si="24"/>
        <v>493891.123027494</v>
      </c>
      <c r="X139" s="379">
        <f t="shared" si="24"/>
        <v>503768.945488044</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173300.2464</v>
      </c>
      <c r="F140" s="379">
        <f t="shared" si="25"/>
        <v>172288.38806547958</v>
      </c>
      <c r="G140" s="379">
        <f t="shared" si="25"/>
        <v>171218.24745757837</v>
      </c>
      <c r="H140" s="379">
        <f t="shared" si="25"/>
        <v>170087.13712656111</v>
      </c>
      <c r="I140" s="379">
        <f t="shared" si="25"/>
        <v>168892.25500152714</v>
      </c>
      <c r="J140" s="379">
        <f t="shared" si="25"/>
        <v>167630.67966310031</v>
      </c>
      <c r="K140" s="379">
        <f t="shared" si="25"/>
        <v>166299.36542417706</v>
      </c>
      <c r="L140" s="379">
        <f t="shared" si="25"/>
        <v>164895.13721099831</v>
      </c>
      <c r="M140" s="379">
        <f t="shared" si="25"/>
        <v>163414.68523649996</v>
      </c>
      <c r="N140" s="379">
        <f t="shared" si="25"/>
        <v>161854.55945757328</v>
      </c>
      <c r="O140" s="379">
        <f t="shared" si="25"/>
        <v>160211.1638075322</v>
      </c>
      <c r="P140" s="379">
        <f t="shared" si="25"/>
        <v>158480.75019473303</v>
      </c>
      <c r="Q140" s="379">
        <f t="shared" si="25"/>
        <v>156659.41225793026</v>
      </c>
      <c r="R140" s="379">
        <f t="shared" si="25"/>
        <v>154743.07886857397</v>
      </c>
      <c r="S140" s="379">
        <f t="shared" si="25"/>
        <v>152727.50736986037</v>
      </c>
      <c r="T140" s="379">
        <f t="shared" si="25"/>
        <v>-88426.880852032642</v>
      </c>
      <c r="U140" s="379">
        <f t="shared" si="25"/>
        <v>-90195.418469073324</v>
      </c>
      <c r="V140" s="379">
        <f t="shared" si="25"/>
        <v>-91999.326838454799</v>
      </c>
      <c r="W140" s="379">
        <f t="shared" si="25"/>
        <v>-93839.313375223865</v>
      </c>
      <c r="X140" s="379">
        <f t="shared" si="25"/>
        <v>-95716.099642728368</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-511785.06814215792</v>
      </c>
      <c r="F142" s="386">
        <f t="shared" si="26"/>
        <v>-517483.22647667828</v>
      </c>
      <c r="G142" s="386">
        <f t="shared" si="26"/>
        <v>-523333.39308457944</v>
      </c>
      <c r="H142" s="386">
        <f t="shared" si="26"/>
        <v>-529340.12993559672</v>
      </c>
      <c r="I142" s="386">
        <f t="shared" si="26"/>
        <v>-535508.1511110306</v>
      </c>
      <c r="J142" s="386">
        <f t="shared" si="26"/>
        <v>-541842.32828086556</v>
      </c>
      <c r="K142" s="386">
        <f t="shared" si="26"/>
        <v>-548347.69638782495</v>
      </c>
      <c r="L142" s="386">
        <f t="shared" si="26"/>
        <v>-555029.45954640047</v>
      </c>
      <c r="M142" s="386">
        <f t="shared" si="26"/>
        <v>-561892.99716520368</v>
      </c>
      <c r="N142" s="386">
        <f t="shared" si="26"/>
        <v>-568943.87030132115</v>
      </c>
      <c r="O142" s="386">
        <f t="shared" si="26"/>
        <v>-576187.82825569715</v>
      </c>
      <c r="P142" s="386">
        <f t="shared" si="26"/>
        <v>-583630.81541891769</v>
      </c>
      <c r="Q142" s="386">
        <f t="shared" si="26"/>
        <v>-591278.97837715037</v>
      </c>
      <c r="R142" s="386">
        <f t="shared" si="26"/>
        <v>-599138.67328836513</v>
      </c>
      <c r="S142" s="386">
        <f t="shared" si="26"/>
        <v>-607216.4735393743</v>
      </c>
      <c r="T142" s="386">
        <f t="shared" si="26"/>
        <v>376977.75521129707</v>
      </c>
      <c r="U142" s="386">
        <f t="shared" si="26"/>
        <v>384517.31031552312</v>
      </c>
      <c r="V142" s="386">
        <f t="shared" si="26"/>
        <v>392207.65652183356</v>
      </c>
      <c r="W142" s="386">
        <f t="shared" si="26"/>
        <v>400051.80965227017</v>
      </c>
      <c r="X142" s="386">
        <f t="shared" si="26"/>
        <v>408052.84584531561</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-7159769.9999999981</v>
      </c>
      <c r="E143" s="379">
        <f>E132+E140</f>
        <v>-61014.753599999996</v>
      </c>
      <c r="F143" s="379">
        <f t="shared" ref="F143:AR143" si="27">F132+F140</f>
        <v>-66712.911934520438</v>
      </c>
      <c r="G143" s="379">
        <f t="shared" si="27"/>
        <v>-72563.07854242163</v>
      </c>
      <c r="H143" s="379">
        <f t="shared" si="27"/>
        <v>-78569.815393438883</v>
      </c>
      <c r="I143" s="379">
        <f t="shared" si="27"/>
        <v>-84737.836568872852</v>
      </c>
      <c r="J143" s="379">
        <f t="shared" si="27"/>
        <v>-91072.013738707697</v>
      </c>
      <c r="K143" s="379">
        <f t="shared" si="27"/>
        <v>-97577.381845667114</v>
      </c>
      <c r="L143" s="379">
        <f t="shared" si="27"/>
        <v>-104259.14500424269</v>
      </c>
      <c r="M143" s="379">
        <f t="shared" si="27"/>
        <v>-111122.6826230459</v>
      </c>
      <c r="N143" s="379">
        <f t="shared" si="27"/>
        <v>-118173.55575916346</v>
      </c>
      <c r="O143" s="379">
        <f t="shared" si="27"/>
        <v>-125417.51371353932</v>
      </c>
      <c r="P143" s="379">
        <f t="shared" si="27"/>
        <v>-132860.50087675988</v>
      </c>
      <c r="Q143" s="379">
        <f t="shared" si="27"/>
        <v>-140508.66383499251</v>
      </c>
      <c r="R143" s="379">
        <f t="shared" si="27"/>
        <v>-148368.35874620729</v>
      </c>
      <c r="S143" s="379">
        <f t="shared" si="27"/>
        <v>-156446.15899721649</v>
      </c>
      <c r="T143" s="379">
        <f t="shared" si="27"/>
        <v>376977.75521129707</v>
      </c>
      <c r="U143" s="379">
        <f t="shared" si="27"/>
        <v>384517.31031552312</v>
      </c>
      <c r="V143" s="379">
        <f t="shared" si="27"/>
        <v>392207.65652183356</v>
      </c>
      <c r="W143" s="379">
        <f t="shared" si="27"/>
        <v>400051.80965227017</v>
      </c>
      <c r="X143" s="379">
        <f t="shared" si="27"/>
        <v>408052.84584531561</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-2147930.9999999995</v>
      </c>
      <c r="E144" s="379">
        <f>E142</f>
        <v>-511785.06814215792</v>
      </c>
      <c r="F144" s="379">
        <f t="shared" ref="F144:AR144" si="28">F142</f>
        <v>-517483.22647667828</v>
      </c>
      <c r="G144" s="379">
        <f t="shared" si="28"/>
        <v>-523333.39308457944</v>
      </c>
      <c r="H144" s="379">
        <f t="shared" si="28"/>
        <v>-529340.12993559672</v>
      </c>
      <c r="I144" s="379">
        <f t="shared" si="28"/>
        <v>-535508.1511110306</v>
      </c>
      <c r="J144" s="379">
        <f t="shared" si="28"/>
        <v>-541842.32828086556</v>
      </c>
      <c r="K144" s="379">
        <f t="shared" si="28"/>
        <v>-548347.69638782495</v>
      </c>
      <c r="L144" s="379">
        <f t="shared" si="28"/>
        <v>-555029.45954640047</v>
      </c>
      <c r="M144" s="379">
        <f t="shared" si="28"/>
        <v>-561892.99716520368</v>
      </c>
      <c r="N144" s="379">
        <f t="shared" si="28"/>
        <v>-568943.87030132115</v>
      </c>
      <c r="O144" s="379">
        <f t="shared" si="28"/>
        <v>-576187.82825569715</v>
      </c>
      <c r="P144" s="379">
        <f t="shared" si="28"/>
        <v>-583630.81541891769</v>
      </c>
      <c r="Q144" s="379">
        <f t="shared" si="28"/>
        <v>-591278.97837715037</v>
      </c>
      <c r="R144" s="379">
        <f t="shared" si="28"/>
        <v>-599138.67328836513</v>
      </c>
      <c r="S144" s="379">
        <f t="shared" si="28"/>
        <v>-607216.4735393743</v>
      </c>
      <c r="T144" s="379">
        <f t="shared" si="28"/>
        <v>376977.75521129707</v>
      </c>
      <c r="U144" s="379">
        <f t="shared" si="28"/>
        <v>384517.31031552312</v>
      </c>
      <c r="V144" s="379">
        <f t="shared" si="28"/>
        <v>392207.65652183356</v>
      </c>
      <c r="W144" s="379">
        <f t="shared" si="28"/>
        <v>400051.80965227017</v>
      </c>
      <c r="X144" s="379">
        <f t="shared" si="28"/>
        <v>408052.84584531561</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13275000</v>
      </c>
      <c r="F145" s="379">
        <f t="shared" si="29"/>
        <v>13275000</v>
      </c>
      <c r="G145" s="379">
        <f t="shared" si="29"/>
        <v>13275000</v>
      </c>
      <c r="H145" s="379">
        <f t="shared" si="29"/>
        <v>13275000</v>
      </c>
      <c r="I145" s="379">
        <f t="shared" si="29"/>
        <v>13275000</v>
      </c>
      <c r="J145" s="379">
        <f t="shared" si="29"/>
        <v>13275000</v>
      </c>
      <c r="K145" s="379">
        <f t="shared" si="29"/>
        <v>13275000</v>
      </c>
      <c r="L145" s="379">
        <f t="shared" si="29"/>
        <v>13275000</v>
      </c>
      <c r="M145" s="379">
        <f t="shared" si="29"/>
        <v>13275000</v>
      </c>
      <c r="N145" s="379">
        <f t="shared" si="29"/>
        <v>13275000</v>
      </c>
      <c r="O145" s="379">
        <f t="shared" si="29"/>
        <v>13275000</v>
      </c>
      <c r="P145" s="379">
        <f t="shared" si="29"/>
        <v>13275000</v>
      </c>
      <c r="Q145" s="379">
        <f t="shared" si="29"/>
        <v>13275000</v>
      </c>
      <c r="R145" s="379">
        <f t="shared" si="29"/>
        <v>13275000</v>
      </c>
      <c r="S145" s="379">
        <f t="shared" si="29"/>
        <v>13275000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7159769.9999999991</v>
      </c>
      <c r="E146" s="123">
        <f>IF(E112&lt;=$C76,D146-($C$5*E118+E132+E135),D146-(E132+E135))</f>
        <v>6718408.5599999987</v>
      </c>
      <c r="F146" s="123">
        <f t="shared" ref="F146:AR146" si="30">IF(F112&lt;=$C76,E146-($C$5*F118+F132+F135),E146-(F132+F135))</f>
        <v>6271721.5498183127</v>
      </c>
      <c r="G146" s="123">
        <f t="shared" si="30"/>
        <v>5819402.2206476722</v>
      </c>
      <c r="H146" s="123">
        <f t="shared" si="30"/>
        <v>5361129.6792085199</v>
      </c>
      <c r="I146" s="123">
        <f>IF(I112&lt;=$C76,H146-($C$5*I118+I132+I135),H146-(I132+I135))</f>
        <v>4896568.2844797149</v>
      </c>
      <c r="J146" s="123">
        <f t="shared" si="30"/>
        <v>4425367.0195486639</v>
      </c>
      <c r="K146" s="123">
        <f>IF(K112&lt;=$C76,J146-($C$5*K118+K132+K135),J146-(K132+K135))</f>
        <v>3947158.8375706486</v>
      </c>
      <c r="L146" s="123">
        <f t="shared" si="30"/>
        <v>3461559.9807864293</v>
      </c>
      <c r="M146" s="123">
        <f t="shared" si="30"/>
        <v>2968169.2715048501</v>
      </c>
      <c r="N146" s="123">
        <f t="shared" si="30"/>
        <v>2466567.3739131303</v>
      </c>
      <c r="O146" s="123">
        <f t="shared" si="30"/>
        <v>1956316.0255317208</v>
      </c>
      <c r="P146" s="123">
        <f t="shared" si="30"/>
        <v>1436957.2370829473</v>
      </c>
      <c r="Q146" s="123">
        <f t="shared" si="30"/>
        <v>908012.4594931067</v>
      </c>
      <c r="R146" s="123">
        <f t="shared" si="30"/>
        <v>368981.71669612778</v>
      </c>
      <c r="S146" s="123">
        <f t="shared" si="30"/>
        <v>-180657.29714671243</v>
      </c>
      <c r="T146" s="123">
        <f t="shared" si="30"/>
        <v>-646061.93321004207</v>
      </c>
      <c r="U146" s="123">
        <f t="shared" si="30"/>
        <v>-1120774.6619946384</v>
      </c>
      <c r="V146" s="123">
        <f t="shared" si="30"/>
        <v>-1604981.6453549268</v>
      </c>
      <c r="W146" s="123">
        <f t="shared" si="30"/>
        <v>-2098872.7683824208</v>
      </c>
      <c r="X146" s="123">
        <f t="shared" si="30"/>
        <v>-2602641.7138704648</v>
      </c>
      <c r="Y146" s="123">
        <f t="shared" si="30"/>
        <v>-2602641.7138704648</v>
      </c>
      <c r="Z146" s="123">
        <f t="shared" si="30"/>
        <v>-2602641.7138704648</v>
      </c>
      <c r="AA146" s="123">
        <f>IF(AA112&lt;=$C76,Z146-($C$5*AA118+AA132+AA135),Z146-(AA132+AA135))</f>
        <v>-2602641.7138704648</v>
      </c>
      <c r="AB146" s="123">
        <f t="shared" si="30"/>
        <v>-2602641.7138704648</v>
      </c>
      <c r="AC146" s="123">
        <f t="shared" si="30"/>
        <v>-2602641.7138704648</v>
      </c>
      <c r="AD146" s="123">
        <f t="shared" si="30"/>
        <v>-2602641.7138704648</v>
      </c>
      <c r="AE146" s="123">
        <f>IF(AE112&lt;=$C76,AD146-($C$5*AE118+AE132+AE135),AD146-(AE132+AE135))</f>
        <v>-2602641.7138704648</v>
      </c>
      <c r="AF146" s="123">
        <f t="shared" si="30"/>
        <v>-2602641.7138704648</v>
      </c>
      <c r="AG146" s="123">
        <f>IF(AG112&lt;=$C76,AF146-($C$5*AG118+AG132+AG135),AF146-(AG132+AG135))</f>
        <v>-2602641.7138704648</v>
      </c>
      <c r="AH146" s="123">
        <f t="shared" si="30"/>
        <v>-2602641.7138704648</v>
      </c>
      <c r="AI146" s="123">
        <f t="shared" si="30"/>
        <v>-2602641.7138704648</v>
      </c>
      <c r="AJ146" s="123">
        <f t="shared" si="30"/>
        <v>-2602641.7138704648</v>
      </c>
      <c r="AK146" s="123">
        <f t="shared" si="30"/>
        <v>-2602641.7138704648</v>
      </c>
      <c r="AL146" s="123">
        <f t="shared" si="30"/>
        <v>-2602641.7138704648</v>
      </c>
      <c r="AM146" s="123">
        <f t="shared" si="30"/>
        <v>-2602641.7138704648</v>
      </c>
      <c r="AN146" s="123">
        <f t="shared" si="30"/>
        <v>-2602641.7138704648</v>
      </c>
      <c r="AO146" s="123">
        <f t="shared" si="30"/>
        <v>-2602641.7138704648</v>
      </c>
      <c r="AP146" s="123">
        <f t="shared" si="30"/>
        <v>-2602641.7138704648</v>
      </c>
      <c r="AQ146" s="123">
        <f t="shared" si="30"/>
        <v>-2602641.7138704648</v>
      </c>
      <c r="AR146" s="387">
        <f t="shared" si="30"/>
        <v>-2602641.7138704648</v>
      </c>
    </row>
    <row r="147" spans="1:44" ht="13" thickBot="1" x14ac:dyDescent="0.3">
      <c r="B147" s="124" t="s">
        <v>473</v>
      </c>
      <c r="C147" s="125"/>
      <c r="D147" s="125"/>
      <c r="E147" s="126">
        <f t="shared" ref="E147:AR147" si="31">IF(E112&gt;$C$74,"",(-$C$94*(E139+$C$5*E118)+E132+$C$5*E118)/-E137)</f>
        <v>1.4390183325599937</v>
      </c>
      <c r="F147" s="126">
        <f t="shared" si="31"/>
        <v>1.4263773973637446</v>
      </c>
      <c r="G147" s="126">
        <f t="shared" si="31"/>
        <v>1.413399243259158</v>
      </c>
      <c r="H147" s="126">
        <f t="shared" si="31"/>
        <v>1.4000737498598903</v>
      </c>
      <c r="I147" s="126">
        <f t="shared" si="31"/>
        <v>1.3863904593315448</v>
      </c>
      <c r="J147" s="126">
        <f t="shared" si="31"/>
        <v>1.3723385642410966</v>
      </c>
      <c r="K147" s="126">
        <f t="shared" si="31"/>
        <v>1.3579068949472419</v>
      </c>
      <c r="L147" s="126">
        <f t="shared" si="31"/>
        <v>1.343083906513848</v>
      </c>
      <c r="M147" s="126">
        <f t="shared" si="31"/>
        <v>1.3278576651279785</v>
      </c>
      <c r="N147" s="126">
        <f t="shared" si="31"/>
        <v>1.3122158340032315</v>
      </c>
      <c r="O147" s="126">
        <f t="shared" si="31"/>
        <v>1.2961456587483824</v>
      </c>
      <c r="P147" s="126">
        <f t="shared" si="31"/>
        <v>1.279633952180526</v>
      </c>
      <c r="Q147" s="126">
        <f t="shared" si="31"/>
        <v>1.2626670785610843</v>
      </c>
      <c r="R147" s="126">
        <f t="shared" si="31"/>
        <v>1.2452309372322177</v>
      </c>
      <c r="S147" s="126">
        <f t="shared" si="31"/>
        <v>1.2273109456302556</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-4528708.8170982655</v>
      </c>
      <c r="D150" s="57" t="s">
        <v>476</v>
      </c>
    </row>
    <row r="151" spans="1:44" x14ac:dyDescent="0.25">
      <c r="B151" s="26" t="s">
        <v>477</v>
      </c>
      <c r="C151" s="153">
        <f>(1-$C$94)*NPV($C$91,E145:AR145)</f>
        <v>101104547.52775344</v>
      </c>
      <c r="D151" s="58" t="str">
        <f>$C$7</f>
        <v>kWh</v>
      </c>
      <c r="F151" s="59"/>
    </row>
    <row r="152" spans="1:44" x14ac:dyDescent="0.25">
      <c r="B152" s="26" t="s">
        <v>478</v>
      </c>
      <c r="C152" s="153">
        <f>$C$41*1000000</f>
        <v>7159769.9999999991</v>
      </c>
      <c r="D152" s="57" t="s">
        <v>424</v>
      </c>
      <c r="F152" s="60"/>
    </row>
    <row r="153" spans="1:44" x14ac:dyDescent="0.25">
      <c r="B153" s="26" t="s">
        <v>479</v>
      </c>
      <c r="C153" s="154">
        <f>AVERAGE(E147:AR147)</f>
        <v>1.3393100413040129</v>
      </c>
      <c r="D153" s="57"/>
      <c r="F153" s="60"/>
    </row>
    <row r="154" spans="1:44" x14ac:dyDescent="0.25">
      <c r="B154" s="26" t="s">
        <v>480</v>
      </c>
      <c r="C154" s="155" t="str">
        <f>CONCATENATE(ROUND(((1-$C$94)*$C$90*$C$92+$C$93*$C$91)*100,1),"% / ",ROUND((((1+(1-$C$94)*$C$90*$C$92+$C$93*$C$91)/(1+$C$89))-1)*100,1),"%")</f>
        <v>4.2% / 2.2%</v>
      </c>
      <c r="D154" s="57"/>
      <c r="F154" s="59"/>
      <c r="G154" s="61"/>
    </row>
    <row r="155" spans="1:44" x14ac:dyDescent="0.25">
      <c r="B155" s="26" t="s">
        <v>481</v>
      </c>
      <c r="C155" s="156">
        <f>IFERROR(IRR(D143:AR143),"n.v.t.")</f>
        <v>-9.2205969700662527E-2</v>
      </c>
      <c r="D155" s="57"/>
      <c r="F155" s="60"/>
      <c r="G155" s="61"/>
    </row>
    <row r="156" spans="1:44" x14ac:dyDescent="0.25">
      <c r="B156" s="26" t="s">
        <v>482</v>
      </c>
      <c r="C156" s="156" t="str">
        <f>IFERROR(IRR(D144:AR144),"n.v.t.")</f>
        <v>n.v.t.</v>
      </c>
      <c r="D156" s="57"/>
      <c r="G156" s="61"/>
    </row>
    <row r="157" spans="1:44" x14ac:dyDescent="0.25">
      <c r="B157" s="38" t="s">
        <v>483</v>
      </c>
      <c r="C157" s="153">
        <f>$C$92*C152-C97</f>
        <v>5011838.9999999991</v>
      </c>
      <c r="D157" s="57" t="s">
        <v>424</v>
      </c>
      <c r="F157" s="35"/>
    </row>
    <row r="158" spans="1:44" x14ac:dyDescent="0.25">
      <c r="B158" s="38" t="s">
        <v>484</v>
      </c>
      <c r="C158" s="153">
        <f>$C$93*C152-C98</f>
        <v>2147930.9999999995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2950</v>
      </c>
      <c r="D160" s="57" t="s">
        <v>340</v>
      </c>
      <c r="F160" s="35"/>
    </row>
    <row r="161" spans="2:44" x14ac:dyDescent="0.25">
      <c r="B161" s="43" t="s">
        <v>487</v>
      </c>
      <c r="C161" s="461" t="str">
        <f>CONCATENATE( "tussen ", INDEX(D112:X112, MATCH(0,D146:X146, -1)), " en ",  1 + INDEX(D112:X112, MATCH(0,D146:X146, -1)), " jaar")</f>
        <v>tussen 14 en 15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14" priority="3" operator="containsText" text="Pas op">
      <formula>NOT(ISERROR(SEARCH("Pas op",G1)))</formula>
    </cfRule>
  </conditionalFormatting>
  <conditionalFormatting sqref="G105">
    <cfRule type="containsText" dxfId="13" priority="1" operator="containsText" text="Pas op">
      <formula>NOT(ISERROR(SEARCH("Pas op",G105)))</formula>
    </cfRule>
  </conditionalFormatting>
  <conditionalFormatting sqref="G184:G1048576">
    <cfRule type="containsText" dxfId="12" priority="2" operator="containsText" text="Pas op">
      <formula>NOT(ISERROR(SEARCH("Pas op",G184)))</formula>
    </cfRule>
  </conditionalFormatting>
  <dataValidations count="3">
    <dataValidation type="list" allowBlank="1" showInputMessage="1" showErrorMessage="1" sqref="C14" xr:uid="{556810F8-CDD2-434D-90AD-434A349741C7}">
      <formula1>"Nee,Ja,Geen warmte"</formula1>
    </dataValidation>
    <dataValidation type="list" allowBlank="1" showInputMessage="1" showErrorMessage="1" sqref="C7" xr:uid="{47AD8A2E-C20E-4311-B504-3D8874CE031C}">
      <formula1>"t CO2,kWh"</formula1>
    </dataValidation>
    <dataValidation type="list" allowBlank="1" showInputMessage="1" showErrorMessage="1" sqref="C37361 C102897 C168433 C233969 C299505 C365041 C430577 C496113 C561649 C627185 C692721 C758257 C823793 C889329 C954865" xr:uid="{EC6CCFAC-ACC7-4DDA-B926-7A0063743172}">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1FFE96F9-8E7E-4BEC-B99E-80012211D9AA}">
          <x14:formula1>
            <xm:f>Correcties!$A$8:$A$8</xm:f>
          </x14:formula1>
          <xm:sqref>C15</xm:sqref>
        </x14:dataValidation>
        <x14:dataValidation type="list" allowBlank="1" showInputMessage="1" showErrorMessage="1" xr:uid="{5622226E-AF9F-482B-967B-2ECCEEBF3462}">
          <x14:formula1>
            <xm:f>Correcties!$A$27:$A$38</xm:f>
          </x14:formula1>
          <xm:sqref>C13</xm:sqref>
        </x14:dataValidation>
        <x14:dataValidation type="list" allowBlank="1" showInputMessage="1" showErrorMessage="1" xr:uid="{ECF2004D-DBB2-4985-B450-C8464A0046A3}">
          <x14:formula1>
            <xm:f>Colofon!$B$34:$B$39</xm:f>
          </x14:formula1>
          <xm:sqref>C9</xm:sqref>
        </x14:dataValidation>
        <x14:dataValidation type="list" allowBlank="1" showInputMessage="1" showErrorMessage="1" xr:uid="{2EC7D16F-69D9-4CA3-95BA-6F01D47BFC32}">
          <x14:formula1>
            <xm:f>Correcties!$A$10:$A$10</xm:f>
          </x14:formula1>
          <xm:sqref>C16</xm:sqref>
        </x14:dataValidation>
        <x14:dataValidation type="list" allowBlank="1" showInputMessage="1" showErrorMessage="1" xr:uid="{36AF2F00-6840-453A-BE46-DB52B040614D}">
          <x14:formula1>
            <xm:f>Correcties!$A$4:$A$10</xm:f>
          </x14:formula1>
          <xm:sqref>C12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D638-F499-4D48-B113-B5CE79495CE4}">
  <sheetPr codeName="Sheet107">
    <tabColor theme="5" tint="0.39997558519241921"/>
    <pageSetUpPr fitToPage="1"/>
  </sheetPr>
  <dimension ref="A1:AR198"/>
  <sheetViews>
    <sheetView showGridLines="0" topLeftCell="A119"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522</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7.2499999999999995E-2</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219.5791399817017</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IFERROR(INDEX(Correcties!$A$1:$I$301,MATCH('18'!C12,Correcties!$A$1:$A$301,0),5),"")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4500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4500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2660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1580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7.1597699999999991</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14.9</v>
      </c>
      <c r="D43" s="99" t="str">
        <f>CONCATENATE("Euro/",$C$8,"/jaar")</f>
        <v>Euro/kW/jaar</v>
      </c>
      <c r="E43" s="447" t="s">
        <v>357</v>
      </c>
      <c r="F43" s="447"/>
      <c r="G43" s="447"/>
      <c r="H43" s="447"/>
      <c r="I43" s="447"/>
      <c r="J43" s="447"/>
      <c r="K43" s="447"/>
      <c r="L43" s="447"/>
      <c r="M43" s="448"/>
    </row>
    <row r="44" spans="2:13" x14ac:dyDescent="0.25">
      <c r="B44" s="96" t="s">
        <v>359</v>
      </c>
      <c r="C44" s="348">
        <f>(C42*C21+C43*SUM(C26,C28))/1000</f>
        <v>67.05</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1.26E-2</v>
      </c>
      <c r="D48" s="99" t="str">
        <f>CONCATENATE("Euro/",$C$7)</f>
        <v>Euro/kWh</v>
      </c>
      <c r="E48" s="447"/>
      <c r="F48" s="447"/>
      <c r="G48" s="447"/>
      <c r="H48" s="447"/>
      <c r="I48" s="447"/>
      <c r="J48" s="447"/>
      <c r="K48" s="447"/>
      <c r="L48" s="447"/>
      <c r="M48" s="448"/>
    </row>
    <row r="49" spans="2:13" x14ac:dyDescent="0.25">
      <c r="B49" s="97" t="s">
        <v>366</v>
      </c>
      <c r="C49" s="142">
        <f>SUM(C45:C48)</f>
        <v>1.26E-2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2660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179550000</v>
      </c>
      <c r="D84" s="98" t="str">
        <f>C7</f>
        <v>kWh</v>
      </c>
      <c r="E84" s="447"/>
      <c r="F84" s="447"/>
      <c r="G84" s="447"/>
      <c r="H84" s="447"/>
      <c r="I84" s="447"/>
      <c r="J84" s="447"/>
      <c r="K84" s="447"/>
      <c r="L84" s="447"/>
      <c r="M84" s="448"/>
    </row>
    <row r="85" spans="2:13" x14ac:dyDescent="0.25">
      <c r="B85" s="113" t="s">
        <v>413</v>
      </c>
      <c r="C85" s="145">
        <f>IF(C77=0,SUM(E118:INDEX(E118:AR118,1,C73)),SUM(E118:INDEX(E118:AR118,1,C77)))</f>
        <v>239400000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0.04</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-7159769.9999999991</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11970000</v>
      </c>
      <c r="F115" s="379">
        <f t="shared" si="4"/>
        <v>11970000</v>
      </c>
      <c r="G115" s="379">
        <f t="shared" si="4"/>
        <v>11970000</v>
      </c>
      <c r="H115" s="379">
        <f t="shared" si="4"/>
        <v>11970000</v>
      </c>
      <c r="I115" s="379">
        <f t="shared" si="4"/>
        <v>11970000</v>
      </c>
      <c r="J115" s="379">
        <f t="shared" si="4"/>
        <v>11970000</v>
      </c>
      <c r="K115" s="379">
        <f t="shared" si="4"/>
        <v>11970000</v>
      </c>
      <c r="L115" s="379">
        <f t="shared" si="4"/>
        <v>11970000</v>
      </c>
      <c r="M115" s="379">
        <f t="shared" si="4"/>
        <v>11970000</v>
      </c>
      <c r="N115" s="379">
        <f t="shared" si="4"/>
        <v>11970000</v>
      </c>
      <c r="O115" s="379">
        <f t="shared" si="4"/>
        <v>11970000</v>
      </c>
      <c r="P115" s="379">
        <f t="shared" si="4"/>
        <v>11970000</v>
      </c>
      <c r="Q115" s="379">
        <f t="shared" si="4"/>
        <v>11970000</v>
      </c>
      <c r="R115" s="379">
        <f t="shared" si="4"/>
        <v>11970000</v>
      </c>
      <c r="S115" s="379">
        <f t="shared" si="4"/>
        <v>11970000</v>
      </c>
      <c r="T115" s="379">
        <f t="shared" si="4"/>
        <v>11970000</v>
      </c>
      <c r="U115" s="379">
        <f t="shared" si="4"/>
        <v>11970000</v>
      </c>
      <c r="V115" s="379">
        <f t="shared" si="4"/>
        <v>11970000</v>
      </c>
      <c r="W115" s="379">
        <f t="shared" si="4"/>
        <v>11970000</v>
      </c>
      <c r="X115" s="379">
        <f t="shared" si="4"/>
        <v>11970000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11970000</v>
      </c>
      <c r="F118" s="150">
        <f t="shared" ref="F118:AR118" si="7">SUM(F115:F117)</f>
        <v>11970000</v>
      </c>
      <c r="G118" s="150">
        <f t="shared" si="7"/>
        <v>11970000</v>
      </c>
      <c r="H118" s="150">
        <f t="shared" si="7"/>
        <v>11970000</v>
      </c>
      <c r="I118" s="150">
        <f t="shared" si="7"/>
        <v>11970000</v>
      </c>
      <c r="J118" s="150">
        <f t="shared" si="7"/>
        <v>11970000</v>
      </c>
      <c r="K118" s="150">
        <f t="shared" si="7"/>
        <v>11970000</v>
      </c>
      <c r="L118" s="150">
        <f t="shared" si="7"/>
        <v>11970000</v>
      </c>
      <c r="M118" s="150">
        <f t="shared" si="7"/>
        <v>11970000</v>
      </c>
      <c r="N118" s="150">
        <f t="shared" si="7"/>
        <v>11970000</v>
      </c>
      <c r="O118" s="150">
        <f t="shared" si="7"/>
        <v>11970000</v>
      </c>
      <c r="P118" s="150">
        <f t="shared" si="7"/>
        <v>11970000</v>
      </c>
      <c r="Q118" s="150">
        <f t="shared" si="7"/>
        <v>11970000</v>
      </c>
      <c r="R118" s="150">
        <f t="shared" si="7"/>
        <v>11970000</v>
      </c>
      <c r="S118" s="150">
        <f t="shared" si="7"/>
        <v>11970000</v>
      </c>
      <c r="T118" s="150">
        <f t="shared" si="7"/>
        <v>11970000</v>
      </c>
      <c r="U118" s="150">
        <f t="shared" si="7"/>
        <v>11970000</v>
      </c>
      <c r="V118" s="150">
        <f t="shared" si="7"/>
        <v>11970000</v>
      </c>
      <c r="W118" s="150">
        <f t="shared" si="7"/>
        <v>11970000</v>
      </c>
      <c r="X118" s="150">
        <f t="shared" si="7"/>
        <v>11970000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-217872</v>
      </c>
      <c r="F120" s="379">
        <f t="shared" ref="F120:AR120" si="8">IF(F112&gt;$C$73,0,-F109*(($C$42*$C$21+$C$43*SUM($C$26,$C$28))+F118*$C$49))+IF($C$101=F112,$D$101*F109,0)+IF($C$102=F112,$D$102*F109,0)+IF($C$103=F112,$D$103*F109,0)</f>
        <v>-222229.44</v>
      </c>
      <c r="G120" s="379">
        <f t="shared" si="8"/>
        <v>-226674.0288</v>
      </c>
      <c r="H120" s="379">
        <f t="shared" si="8"/>
        <v>-231207.50937599997</v>
      </c>
      <c r="I120" s="379">
        <f t="shared" si="8"/>
        <v>-235831.65956351999</v>
      </c>
      <c r="J120" s="379">
        <f t="shared" si="8"/>
        <v>-240548.2927547904</v>
      </c>
      <c r="K120" s="379">
        <f t="shared" si="8"/>
        <v>-245359.25860988622</v>
      </c>
      <c r="L120" s="379">
        <f t="shared" si="8"/>
        <v>-250266.44378208389</v>
      </c>
      <c r="M120" s="379">
        <f t="shared" si="8"/>
        <v>-255271.77265772558</v>
      </c>
      <c r="N120" s="379">
        <f t="shared" si="8"/>
        <v>-260377.20811088011</v>
      </c>
      <c r="O120" s="379">
        <f t="shared" si="8"/>
        <v>-265584.75227309769</v>
      </c>
      <c r="P120" s="379">
        <f t="shared" si="8"/>
        <v>-270896.44731855963</v>
      </c>
      <c r="Q120" s="379">
        <f t="shared" si="8"/>
        <v>-276314.37626493088</v>
      </c>
      <c r="R120" s="379">
        <f t="shared" si="8"/>
        <v>-281840.66379022948</v>
      </c>
      <c r="S120" s="379">
        <f t="shared" si="8"/>
        <v>-287477.4770660341</v>
      </c>
      <c r="T120" s="379">
        <f t="shared" si="8"/>
        <v>-293227.0266073547</v>
      </c>
      <c r="U120" s="379">
        <f t="shared" si="8"/>
        <v>-299091.5671395018</v>
      </c>
      <c r="V120" s="379">
        <f t="shared" si="8"/>
        <v>-305073.3984822919</v>
      </c>
      <c r="W120" s="379">
        <f t="shared" si="8"/>
        <v>-311174.86645193771</v>
      </c>
      <c r="X120" s="379">
        <f t="shared" si="8"/>
        <v>-317398.36378097645</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704008.92322563042</v>
      </c>
      <c r="U127" s="379">
        <f t="shared" si="15"/>
        <v>718089.10169014323</v>
      </c>
      <c r="V127" s="379">
        <f t="shared" si="15"/>
        <v>732450.88372394606</v>
      </c>
      <c r="W127" s="379">
        <f t="shared" si="15"/>
        <v>747099.90139842487</v>
      </c>
      <c r="X127" s="379">
        <f t="shared" si="15"/>
        <v>762041.89942639344</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704008.92322563042</v>
      </c>
      <c r="U130" s="379">
        <f t="shared" si="17"/>
        <v>718089.10169014323</v>
      </c>
      <c r="V130" s="379">
        <f t="shared" si="17"/>
        <v>732450.88372394606</v>
      </c>
      <c r="W130" s="379">
        <f t="shared" si="17"/>
        <v>747099.90139842487</v>
      </c>
      <c r="X130" s="379">
        <f t="shared" si="17"/>
        <v>762041.89942639344</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-217872</v>
      </c>
      <c r="F131" s="379">
        <f t="shared" si="18"/>
        <v>-222229.44</v>
      </c>
      <c r="G131" s="379">
        <f t="shared" si="18"/>
        <v>-226674.0288</v>
      </c>
      <c r="H131" s="379">
        <f t="shared" si="18"/>
        <v>-231207.50937599997</v>
      </c>
      <c r="I131" s="379">
        <f t="shared" si="18"/>
        <v>-235831.65956351999</v>
      </c>
      <c r="J131" s="379">
        <f t="shared" si="18"/>
        <v>-240548.2927547904</v>
      </c>
      <c r="K131" s="379">
        <f t="shared" si="18"/>
        <v>-245359.25860988622</v>
      </c>
      <c r="L131" s="379">
        <f t="shared" si="18"/>
        <v>-250266.44378208389</v>
      </c>
      <c r="M131" s="379">
        <f t="shared" si="18"/>
        <v>-255271.77265772558</v>
      </c>
      <c r="N131" s="379">
        <f t="shared" si="18"/>
        <v>-260377.20811088011</v>
      </c>
      <c r="O131" s="379">
        <f t="shared" si="18"/>
        <v>-265584.75227309769</v>
      </c>
      <c r="P131" s="379">
        <f t="shared" si="18"/>
        <v>-270896.44731855963</v>
      </c>
      <c r="Q131" s="379">
        <f t="shared" si="18"/>
        <v>-276314.37626493088</v>
      </c>
      <c r="R131" s="379">
        <f t="shared" si="18"/>
        <v>-281840.66379022948</v>
      </c>
      <c r="S131" s="379">
        <f t="shared" si="18"/>
        <v>-287477.4770660341</v>
      </c>
      <c r="T131" s="379">
        <f t="shared" si="18"/>
        <v>-293227.0266073547</v>
      </c>
      <c r="U131" s="379">
        <f t="shared" si="18"/>
        <v>-299091.5671395018</v>
      </c>
      <c r="V131" s="379">
        <f t="shared" si="18"/>
        <v>-305073.3984822919</v>
      </c>
      <c r="W131" s="379">
        <f t="shared" si="18"/>
        <v>-311174.86645193771</v>
      </c>
      <c r="X131" s="379">
        <f t="shared" si="18"/>
        <v>-317398.36378097645</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-217872</v>
      </c>
      <c r="F132" s="386">
        <f t="shared" ref="F132:AR132" si="19">SUM(F130:F131)</f>
        <v>-222229.44</v>
      </c>
      <c r="G132" s="386">
        <f t="shared" si="19"/>
        <v>-226674.0288</v>
      </c>
      <c r="H132" s="386">
        <f t="shared" si="19"/>
        <v>-231207.50937599997</v>
      </c>
      <c r="I132" s="386">
        <f t="shared" si="19"/>
        <v>-235831.65956351999</v>
      </c>
      <c r="J132" s="386">
        <f t="shared" si="19"/>
        <v>-240548.2927547904</v>
      </c>
      <c r="K132" s="386">
        <f t="shared" si="19"/>
        <v>-245359.25860988622</v>
      </c>
      <c r="L132" s="386">
        <f t="shared" si="19"/>
        <v>-250266.44378208389</v>
      </c>
      <c r="M132" s="386">
        <f t="shared" si="19"/>
        <v>-255271.77265772558</v>
      </c>
      <c r="N132" s="386">
        <f t="shared" si="19"/>
        <v>-260377.20811088011</v>
      </c>
      <c r="O132" s="386">
        <f t="shared" si="19"/>
        <v>-265584.75227309769</v>
      </c>
      <c r="P132" s="386">
        <f t="shared" si="19"/>
        <v>-270896.44731855963</v>
      </c>
      <c r="Q132" s="386">
        <f t="shared" si="19"/>
        <v>-276314.37626493088</v>
      </c>
      <c r="R132" s="386">
        <f t="shared" si="19"/>
        <v>-281840.66379022948</v>
      </c>
      <c r="S132" s="386">
        <f t="shared" si="19"/>
        <v>-287477.4770660341</v>
      </c>
      <c r="T132" s="386">
        <f t="shared" si="19"/>
        <v>410781.89661827573</v>
      </c>
      <c r="U132" s="386">
        <f t="shared" si="19"/>
        <v>418997.53455064143</v>
      </c>
      <c r="V132" s="386">
        <f t="shared" si="19"/>
        <v>427377.48524165415</v>
      </c>
      <c r="W132" s="386">
        <f t="shared" si="19"/>
        <v>435925.03494648717</v>
      </c>
      <c r="X132" s="386">
        <f t="shared" si="19"/>
        <v>444643.535645417</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-477317.99999999994</v>
      </c>
      <c r="F134" s="379">
        <f t="shared" si="20"/>
        <v>-477317.99999999994</v>
      </c>
      <c r="G134" s="379">
        <f t="shared" si="20"/>
        <v>-477317.99999999994</v>
      </c>
      <c r="H134" s="379">
        <f t="shared" si="20"/>
        <v>-477317.99999999994</v>
      </c>
      <c r="I134" s="379">
        <f t="shared" si="20"/>
        <v>-477317.99999999994</v>
      </c>
      <c r="J134" s="379">
        <f t="shared" si="20"/>
        <v>-477317.99999999994</v>
      </c>
      <c r="K134" s="379">
        <f t="shared" si="20"/>
        <v>-477317.99999999994</v>
      </c>
      <c r="L134" s="379">
        <f t="shared" si="20"/>
        <v>-477317.99999999994</v>
      </c>
      <c r="M134" s="379">
        <f t="shared" si="20"/>
        <v>-477317.99999999994</v>
      </c>
      <c r="N134" s="379">
        <f t="shared" si="20"/>
        <v>-477317.99999999994</v>
      </c>
      <c r="O134" s="379">
        <f t="shared" si="20"/>
        <v>-477317.99999999994</v>
      </c>
      <c r="P134" s="379">
        <f t="shared" si="20"/>
        <v>-477317.99999999994</v>
      </c>
      <c r="Q134" s="379">
        <f t="shared" si="20"/>
        <v>-477317.99999999994</v>
      </c>
      <c r="R134" s="379">
        <f t="shared" si="20"/>
        <v>-477317.99999999994</v>
      </c>
      <c r="S134" s="379">
        <f t="shared" si="20"/>
        <v>-477317.99999999994</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-200473.55999999997</v>
      </c>
      <c r="F135" s="379">
        <f t="shared" si="21"/>
        <v>-190461.68981831361</v>
      </c>
      <c r="G135" s="379">
        <f t="shared" si="21"/>
        <v>-180049.34482935988</v>
      </c>
      <c r="H135" s="379">
        <f t="shared" si="21"/>
        <v>-169220.50604084795</v>
      </c>
      <c r="I135" s="379">
        <f t="shared" si="21"/>
        <v>-157958.51370079556</v>
      </c>
      <c r="J135" s="379">
        <f t="shared" si="21"/>
        <v>-146246.04166714105</v>
      </c>
      <c r="K135" s="379">
        <f t="shared" si="21"/>
        <v>-134065.07075214037</v>
      </c>
      <c r="L135" s="379">
        <f t="shared" si="21"/>
        <v>-121396.86100053968</v>
      </c>
      <c r="M135" s="379">
        <f t="shared" si="21"/>
        <v>-108221.92285887497</v>
      </c>
      <c r="N135" s="379">
        <f t="shared" si="21"/>
        <v>-94519.987191543638</v>
      </c>
      <c r="O135" s="379">
        <f t="shared" si="21"/>
        <v>-80269.97409751908</v>
      </c>
      <c r="P135" s="379">
        <f t="shared" si="21"/>
        <v>-65449.960479733534</v>
      </c>
      <c r="Q135" s="379">
        <f t="shared" si="21"/>
        <v>-50037.146317236562</v>
      </c>
      <c r="R135" s="379">
        <f t="shared" si="21"/>
        <v>-34007.819588239712</v>
      </c>
      <c r="S135" s="379">
        <f t="shared" si="21"/>
        <v>-17337.319790082995</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-250296.75454215793</v>
      </c>
      <c r="F136" s="379">
        <f t="shared" si="22"/>
        <v>-260308.6247238442</v>
      </c>
      <c r="G136" s="379">
        <f t="shared" si="22"/>
        <v>-270720.9697127979</v>
      </c>
      <c r="H136" s="379">
        <f t="shared" si="22"/>
        <v>-281549.80850130989</v>
      </c>
      <c r="I136" s="379">
        <f t="shared" si="22"/>
        <v>-292811.80084136227</v>
      </c>
      <c r="J136" s="379">
        <f t="shared" si="22"/>
        <v>-304524.27287501673</v>
      </c>
      <c r="K136" s="379">
        <f t="shared" si="22"/>
        <v>-316705.24379001738</v>
      </c>
      <c r="L136" s="379">
        <f t="shared" si="22"/>
        <v>-329373.45354161813</v>
      </c>
      <c r="M136" s="379">
        <f t="shared" si="22"/>
        <v>-342548.39168328285</v>
      </c>
      <c r="N136" s="379">
        <f t="shared" si="22"/>
        <v>-356250.32735061413</v>
      </c>
      <c r="O136" s="379">
        <f t="shared" si="22"/>
        <v>-370500.34044463874</v>
      </c>
      <c r="P136" s="379">
        <f t="shared" si="22"/>
        <v>-385320.35406242422</v>
      </c>
      <c r="Q136" s="379">
        <f t="shared" si="22"/>
        <v>-400733.16822492122</v>
      </c>
      <c r="R136" s="379">
        <f t="shared" si="22"/>
        <v>-416762.4949539181</v>
      </c>
      <c r="S136" s="379">
        <f t="shared" si="22"/>
        <v>-433432.99475207488</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-450770.31454215792</v>
      </c>
      <c r="F137" s="386">
        <f t="shared" ref="F137:AR137" si="23">SUM(F135,F136)</f>
        <v>-450770.31454215781</v>
      </c>
      <c r="G137" s="386">
        <f t="shared" si="23"/>
        <v>-450770.31454215781</v>
      </c>
      <c r="H137" s="386">
        <f t="shared" si="23"/>
        <v>-450770.31454215781</v>
      </c>
      <c r="I137" s="386">
        <f t="shared" si="23"/>
        <v>-450770.31454215781</v>
      </c>
      <c r="J137" s="386">
        <f t="shared" si="23"/>
        <v>-450770.31454215781</v>
      </c>
      <c r="K137" s="386">
        <f t="shared" si="23"/>
        <v>-450770.31454215775</v>
      </c>
      <c r="L137" s="386">
        <f t="shared" si="23"/>
        <v>-450770.31454215781</v>
      </c>
      <c r="M137" s="386">
        <f t="shared" si="23"/>
        <v>-450770.31454215781</v>
      </c>
      <c r="N137" s="386">
        <f t="shared" si="23"/>
        <v>-450770.31454215775</v>
      </c>
      <c r="O137" s="386">
        <f t="shared" si="23"/>
        <v>-450770.31454215781</v>
      </c>
      <c r="P137" s="386">
        <f t="shared" si="23"/>
        <v>-450770.31454215775</v>
      </c>
      <c r="Q137" s="386">
        <f t="shared" si="23"/>
        <v>-450770.31454215781</v>
      </c>
      <c r="R137" s="386">
        <f t="shared" si="23"/>
        <v>-450770.31454215781</v>
      </c>
      <c r="S137" s="386">
        <f t="shared" si="23"/>
        <v>-450770.31454215787</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-895663.55999999994</v>
      </c>
      <c r="F139" s="379">
        <f t="shared" ref="F139:AR139" si="24">F132+F134+F135</f>
        <v>-890009.12981831352</v>
      </c>
      <c r="G139" s="379">
        <f t="shared" si="24"/>
        <v>-884041.37362935988</v>
      </c>
      <c r="H139" s="379">
        <f t="shared" si="24"/>
        <v>-877746.01541684789</v>
      </c>
      <c r="I139" s="379">
        <f t="shared" si="24"/>
        <v>-871108.17326431558</v>
      </c>
      <c r="J139" s="379">
        <f t="shared" si="24"/>
        <v>-864112.3344219313</v>
      </c>
      <c r="K139" s="379">
        <f t="shared" si="24"/>
        <v>-856742.32936202653</v>
      </c>
      <c r="L139" s="379">
        <f t="shared" si="24"/>
        <v>-848981.30478262343</v>
      </c>
      <c r="M139" s="379">
        <f t="shared" si="24"/>
        <v>-840811.69551660051</v>
      </c>
      <c r="N139" s="379">
        <f t="shared" si="24"/>
        <v>-832215.19530242379</v>
      </c>
      <c r="O139" s="379">
        <f t="shared" si="24"/>
        <v>-823172.7263706167</v>
      </c>
      <c r="P139" s="379">
        <f t="shared" si="24"/>
        <v>-813664.40779829305</v>
      </c>
      <c r="Q139" s="379">
        <f t="shared" si="24"/>
        <v>-803669.52258216741</v>
      </c>
      <c r="R139" s="379">
        <f t="shared" si="24"/>
        <v>-793166.48337846925</v>
      </c>
      <c r="S139" s="379">
        <f t="shared" si="24"/>
        <v>-782132.79685611697</v>
      </c>
      <c r="T139" s="379">
        <f t="shared" si="24"/>
        <v>410781.89661827573</v>
      </c>
      <c r="U139" s="379">
        <f t="shared" si="24"/>
        <v>418997.53455064143</v>
      </c>
      <c r="V139" s="379">
        <f t="shared" si="24"/>
        <v>427377.48524165415</v>
      </c>
      <c r="W139" s="379">
        <f t="shared" si="24"/>
        <v>435925.03494648717</v>
      </c>
      <c r="X139" s="379">
        <f t="shared" si="24"/>
        <v>444643.535645417</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170176.07639999999</v>
      </c>
      <c r="F140" s="379">
        <f t="shared" si="25"/>
        <v>169101.73466547957</v>
      </c>
      <c r="G140" s="379">
        <f t="shared" si="25"/>
        <v>167967.86098957839</v>
      </c>
      <c r="H140" s="379">
        <f t="shared" si="25"/>
        <v>166771.74292920111</v>
      </c>
      <c r="I140" s="379">
        <f t="shared" si="25"/>
        <v>165510.55292021995</v>
      </c>
      <c r="J140" s="379">
        <f t="shared" si="25"/>
        <v>164181.34354016694</v>
      </c>
      <c r="K140" s="379">
        <f t="shared" si="25"/>
        <v>162781.04257878504</v>
      </c>
      <c r="L140" s="379">
        <f t="shared" si="25"/>
        <v>161306.44790869846</v>
      </c>
      <c r="M140" s="379">
        <f t="shared" si="25"/>
        <v>159754.22214815411</v>
      </c>
      <c r="N140" s="379">
        <f t="shared" si="25"/>
        <v>158120.88710746053</v>
      </c>
      <c r="O140" s="379">
        <f t="shared" si="25"/>
        <v>156402.81801041716</v>
      </c>
      <c r="P140" s="379">
        <f t="shared" si="25"/>
        <v>154596.23748167569</v>
      </c>
      <c r="Q140" s="379">
        <f t="shared" si="25"/>
        <v>152697.20929061182</v>
      </c>
      <c r="R140" s="379">
        <f t="shared" si="25"/>
        <v>150701.63184190917</v>
      </c>
      <c r="S140" s="379">
        <f t="shared" si="25"/>
        <v>148605.23140266223</v>
      </c>
      <c r="T140" s="379">
        <f t="shared" si="25"/>
        <v>-78048.560357472394</v>
      </c>
      <c r="U140" s="379">
        <f t="shared" si="25"/>
        <v>-79609.531564621866</v>
      </c>
      <c r="V140" s="379">
        <f t="shared" si="25"/>
        <v>-81201.722195914292</v>
      </c>
      <c r="W140" s="379">
        <f t="shared" si="25"/>
        <v>-82825.756639832558</v>
      </c>
      <c r="X140" s="379">
        <f t="shared" si="25"/>
        <v>-84482.271772629232</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-498466.2381421579</v>
      </c>
      <c r="F142" s="386">
        <f t="shared" si="26"/>
        <v>-503898.01987667818</v>
      </c>
      <c r="G142" s="386">
        <f t="shared" si="26"/>
        <v>-509476.48235257936</v>
      </c>
      <c r="H142" s="386">
        <f t="shared" si="26"/>
        <v>-515206.08098895662</v>
      </c>
      <c r="I142" s="386">
        <f t="shared" si="26"/>
        <v>-521091.42118545785</v>
      </c>
      <c r="J142" s="386">
        <f t="shared" si="26"/>
        <v>-527137.26375678123</v>
      </c>
      <c r="K142" s="386">
        <f t="shared" si="26"/>
        <v>-533348.53057325887</v>
      </c>
      <c r="L142" s="386">
        <f t="shared" si="26"/>
        <v>-539730.31041554327</v>
      </c>
      <c r="M142" s="386">
        <f t="shared" si="26"/>
        <v>-546287.86505172937</v>
      </c>
      <c r="N142" s="386">
        <f t="shared" si="26"/>
        <v>-553026.63554557739</v>
      </c>
      <c r="O142" s="386">
        <f t="shared" si="26"/>
        <v>-559952.24880483828</v>
      </c>
      <c r="P142" s="386">
        <f t="shared" si="26"/>
        <v>-567070.52437904163</v>
      </c>
      <c r="Q142" s="386">
        <f t="shared" si="26"/>
        <v>-574387.48151647695</v>
      </c>
      <c r="R142" s="386">
        <f t="shared" si="26"/>
        <v>-581909.34649047814</v>
      </c>
      <c r="S142" s="386">
        <f t="shared" si="26"/>
        <v>-589642.56020552979</v>
      </c>
      <c r="T142" s="386">
        <f t="shared" si="26"/>
        <v>332733.33626080333</v>
      </c>
      <c r="U142" s="386">
        <f t="shared" si="26"/>
        <v>339388.00298601959</v>
      </c>
      <c r="V142" s="386">
        <f t="shared" si="26"/>
        <v>346175.76304573985</v>
      </c>
      <c r="W142" s="386">
        <f t="shared" si="26"/>
        <v>353099.2783066546</v>
      </c>
      <c r="X142" s="386">
        <f t="shared" si="26"/>
        <v>360161.26387278776</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-7159769.9999999981</v>
      </c>
      <c r="E143" s="379">
        <f>E132+E140</f>
        <v>-47695.923600000009</v>
      </c>
      <c r="F143" s="379">
        <f t="shared" ref="F143:AR143" si="27">F132+F140</f>
        <v>-53127.705334520433</v>
      </c>
      <c r="G143" s="379">
        <f t="shared" si="27"/>
        <v>-58706.167810421612</v>
      </c>
      <c r="H143" s="379">
        <f t="shared" si="27"/>
        <v>-64435.766446798865</v>
      </c>
      <c r="I143" s="379">
        <f t="shared" si="27"/>
        <v>-70321.106643300038</v>
      </c>
      <c r="J143" s="379">
        <f t="shared" si="27"/>
        <v>-76366.949214623455</v>
      </c>
      <c r="K143" s="379">
        <f t="shared" si="27"/>
        <v>-82578.216031101183</v>
      </c>
      <c r="L143" s="379">
        <f t="shared" si="27"/>
        <v>-88959.995873385429</v>
      </c>
      <c r="M143" s="379">
        <f t="shared" si="27"/>
        <v>-95517.550509571476</v>
      </c>
      <c r="N143" s="379">
        <f t="shared" si="27"/>
        <v>-102256.32100341958</v>
      </c>
      <c r="O143" s="379">
        <f t="shared" si="27"/>
        <v>-109181.93426268053</v>
      </c>
      <c r="P143" s="379">
        <f t="shared" si="27"/>
        <v>-116300.20983688394</v>
      </c>
      <c r="Q143" s="379">
        <f t="shared" si="27"/>
        <v>-123617.16697431906</v>
      </c>
      <c r="R143" s="379">
        <f t="shared" si="27"/>
        <v>-131139.03194832031</v>
      </c>
      <c r="S143" s="379">
        <f t="shared" si="27"/>
        <v>-138872.24566337187</v>
      </c>
      <c r="T143" s="379">
        <f t="shared" si="27"/>
        <v>332733.33626080333</v>
      </c>
      <c r="U143" s="379">
        <f t="shared" si="27"/>
        <v>339388.00298601959</v>
      </c>
      <c r="V143" s="379">
        <f t="shared" si="27"/>
        <v>346175.76304573985</v>
      </c>
      <c r="W143" s="379">
        <f t="shared" si="27"/>
        <v>353099.2783066546</v>
      </c>
      <c r="X143" s="379">
        <f t="shared" si="27"/>
        <v>360161.26387278776</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-2147930.9999999995</v>
      </c>
      <c r="E144" s="379">
        <f>E142</f>
        <v>-498466.2381421579</v>
      </c>
      <c r="F144" s="379">
        <f t="shared" ref="F144:AR144" si="28">F142</f>
        <v>-503898.01987667818</v>
      </c>
      <c r="G144" s="379">
        <f t="shared" si="28"/>
        <v>-509476.48235257936</v>
      </c>
      <c r="H144" s="379">
        <f t="shared" si="28"/>
        <v>-515206.08098895662</v>
      </c>
      <c r="I144" s="379">
        <f t="shared" si="28"/>
        <v>-521091.42118545785</v>
      </c>
      <c r="J144" s="379">
        <f t="shared" si="28"/>
        <v>-527137.26375678123</v>
      </c>
      <c r="K144" s="379">
        <f t="shared" si="28"/>
        <v>-533348.53057325887</v>
      </c>
      <c r="L144" s="379">
        <f t="shared" si="28"/>
        <v>-539730.31041554327</v>
      </c>
      <c r="M144" s="379">
        <f t="shared" si="28"/>
        <v>-546287.86505172937</v>
      </c>
      <c r="N144" s="379">
        <f t="shared" si="28"/>
        <v>-553026.63554557739</v>
      </c>
      <c r="O144" s="379">
        <f t="shared" si="28"/>
        <v>-559952.24880483828</v>
      </c>
      <c r="P144" s="379">
        <f t="shared" si="28"/>
        <v>-567070.52437904163</v>
      </c>
      <c r="Q144" s="379">
        <f t="shared" si="28"/>
        <v>-574387.48151647695</v>
      </c>
      <c r="R144" s="379">
        <f t="shared" si="28"/>
        <v>-581909.34649047814</v>
      </c>
      <c r="S144" s="379">
        <f t="shared" si="28"/>
        <v>-589642.56020552979</v>
      </c>
      <c r="T144" s="379">
        <f t="shared" si="28"/>
        <v>332733.33626080333</v>
      </c>
      <c r="U144" s="379">
        <f t="shared" si="28"/>
        <v>339388.00298601959</v>
      </c>
      <c r="V144" s="379">
        <f t="shared" si="28"/>
        <v>346175.76304573985</v>
      </c>
      <c r="W144" s="379">
        <f t="shared" si="28"/>
        <v>353099.2783066546</v>
      </c>
      <c r="X144" s="379">
        <f t="shared" si="28"/>
        <v>360161.26387278776</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11970000</v>
      </c>
      <c r="F145" s="379">
        <f t="shared" si="29"/>
        <v>11970000</v>
      </c>
      <c r="G145" s="379">
        <f t="shared" si="29"/>
        <v>11970000</v>
      </c>
      <c r="H145" s="379">
        <f t="shared" si="29"/>
        <v>11970000</v>
      </c>
      <c r="I145" s="379">
        <f t="shared" si="29"/>
        <v>11970000</v>
      </c>
      <c r="J145" s="379">
        <f t="shared" si="29"/>
        <v>11970000</v>
      </c>
      <c r="K145" s="379">
        <f t="shared" si="29"/>
        <v>11970000</v>
      </c>
      <c r="L145" s="379">
        <f t="shared" si="29"/>
        <v>11970000</v>
      </c>
      <c r="M145" s="379">
        <f t="shared" si="29"/>
        <v>11970000</v>
      </c>
      <c r="N145" s="379">
        <f t="shared" si="29"/>
        <v>11970000</v>
      </c>
      <c r="O145" s="379">
        <f t="shared" si="29"/>
        <v>11970000</v>
      </c>
      <c r="P145" s="379">
        <f t="shared" si="29"/>
        <v>11970000</v>
      </c>
      <c r="Q145" s="379">
        <f t="shared" si="29"/>
        <v>11970000</v>
      </c>
      <c r="R145" s="379">
        <f t="shared" si="29"/>
        <v>11970000</v>
      </c>
      <c r="S145" s="379">
        <f t="shared" si="29"/>
        <v>11970000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7159769.9999999991</v>
      </c>
      <c r="E146" s="123">
        <f>IF(E112&lt;=$C76,D146-($C$5*E118+E132+E135),D146-(E132+E135))</f>
        <v>6710290.5599999987</v>
      </c>
      <c r="F146" s="123">
        <f t="shared" ref="F146:AR146" si="30">IF(F112&lt;=$C76,E146-($C$5*F118+F132+F135),E146-(F132+F135))</f>
        <v>6255156.6898183124</v>
      </c>
      <c r="G146" s="123">
        <f t="shared" si="30"/>
        <v>5794055.0634476729</v>
      </c>
      <c r="H146" s="123">
        <f t="shared" si="30"/>
        <v>5326658.0788645213</v>
      </c>
      <c r="I146" s="123">
        <f>IF(I112&lt;=$C76,H146-($C$5*I118+I132+I135),H146-(I132+I135))</f>
        <v>4852623.2521288367</v>
      </c>
      <c r="J146" s="123">
        <f t="shared" si="30"/>
        <v>4371592.5865507685</v>
      </c>
      <c r="K146" s="123">
        <f>IF(K112&lt;=$C76,J146-($C$5*K118+K132+K135),J146-(K132+K135))</f>
        <v>3883191.9159127949</v>
      </c>
      <c r="L146" s="123">
        <f t="shared" si="30"/>
        <v>3387030.2206954188</v>
      </c>
      <c r="M146" s="123">
        <f t="shared" si="30"/>
        <v>2882698.9162120195</v>
      </c>
      <c r="N146" s="123">
        <f t="shared" si="30"/>
        <v>2369771.1115144435</v>
      </c>
      <c r="O146" s="123">
        <f t="shared" si="30"/>
        <v>1847800.8378850603</v>
      </c>
      <c r="P146" s="123">
        <f t="shared" si="30"/>
        <v>1316322.2456833536</v>
      </c>
      <c r="Q146" s="123">
        <f t="shared" si="30"/>
        <v>774848.76826552115</v>
      </c>
      <c r="R146" s="123">
        <f t="shared" si="30"/>
        <v>222872.2516439904</v>
      </c>
      <c r="S146" s="123">
        <f t="shared" si="30"/>
        <v>-340137.9514998924</v>
      </c>
      <c r="T146" s="123">
        <f t="shared" si="30"/>
        <v>-750919.84811816807</v>
      </c>
      <c r="U146" s="123">
        <f t="shared" si="30"/>
        <v>-1169917.3826688095</v>
      </c>
      <c r="V146" s="123">
        <f t="shared" si="30"/>
        <v>-1597294.8679104636</v>
      </c>
      <c r="W146" s="123">
        <f t="shared" si="30"/>
        <v>-2033219.9028569506</v>
      </c>
      <c r="X146" s="123">
        <f t="shared" si="30"/>
        <v>-2477863.4385023676</v>
      </c>
      <c r="Y146" s="123">
        <f t="shared" si="30"/>
        <v>-2477863.4385023676</v>
      </c>
      <c r="Z146" s="123">
        <f t="shared" si="30"/>
        <v>-2477863.4385023676</v>
      </c>
      <c r="AA146" s="123">
        <f>IF(AA112&lt;=$C76,Z146-($C$5*AA118+AA132+AA135),Z146-(AA132+AA135))</f>
        <v>-2477863.4385023676</v>
      </c>
      <c r="AB146" s="123">
        <f t="shared" si="30"/>
        <v>-2477863.4385023676</v>
      </c>
      <c r="AC146" s="123">
        <f t="shared" si="30"/>
        <v>-2477863.4385023676</v>
      </c>
      <c r="AD146" s="123">
        <f t="shared" si="30"/>
        <v>-2477863.4385023676</v>
      </c>
      <c r="AE146" s="123">
        <f>IF(AE112&lt;=$C76,AD146-($C$5*AE118+AE132+AE135),AD146-(AE132+AE135))</f>
        <v>-2477863.4385023676</v>
      </c>
      <c r="AF146" s="123">
        <f t="shared" si="30"/>
        <v>-2477863.4385023676</v>
      </c>
      <c r="AG146" s="123">
        <f>IF(AG112&lt;=$C76,AF146-($C$5*AG118+AG132+AG135),AF146-(AG132+AG135))</f>
        <v>-2477863.4385023676</v>
      </c>
      <c r="AH146" s="123">
        <f t="shared" si="30"/>
        <v>-2477863.4385023676</v>
      </c>
      <c r="AI146" s="123">
        <f t="shared" si="30"/>
        <v>-2477863.4385023676</v>
      </c>
      <c r="AJ146" s="123">
        <f t="shared" si="30"/>
        <v>-2477863.4385023676</v>
      </c>
      <c r="AK146" s="123">
        <f t="shared" si="30"/>
        <v>-2477863.4385023676</v>
      </c>
      <c r="AL146" s="123">
        <f t="shared" si="30"/>
        <v>-2477863.4385023676</v>
      </c>
      <c r="AM146" s="123">
        <f t="shared" si="30"/>
        <v>-2477863.4385023676</v>
      </c>
      <c r="AN146" s="123">
        <f t="shared" si="30"/>
        <v>-2477863.4385023676</v>
      </c>
      <c r="AO146" s="123">
        <f t="shared" si="30"/>
        <v>-2477863.4385023676</v>
      </c>
      <c r="AP146" s="123">
        <f t="shared" si="30"/>
        <v>-2477863.4385023676</v>
      </c>
      <c r="AQ146" s="123">
        <f t="shared" si="30"/>
        <v>-2477863.4385023676</v>
      </c>
      <c r="AR146" s="387">
        <f t="shared" si="30"/>
        <v>-2477863.4385023676</v>
      </c>
    </row>
    <row r="147" spans="1:44" ht="13" thickBot="1" x14ac:dyDescent="0.3">
      <c r="B147" s="124" t="s">
        <v>473</v>
      </c>
      <c r="C147" s="125"/>
      <c r="D147" s="125"/>
      <c r="E147" s="126">
        <f t="shared" ref="E147:AR147" si="31">IF(E112&gt;$C$74,"",(-$C$94*(E139+$C$5*E118)+E132+$C$5*E118)/-E137)</f>
        <v>1.4536057616516336</v>
      </c>
      <c r="F147" s="126">
        <f t="shared" si="31"/>
        <v>1.4415557628844404</v>
      </c>
      <c r="G147" s="126">
        <f t="shared" si="31"/>
        <v>1.4291803639374909</v>
      </c>
      <c r="H147" s="126">
        <f t="shared" si="31"/>
        <v>1.4164696807990129</v>
      </c>
      <c r="I147" s="126">
        <f t="shared" si="31"/>
        <v>1.4034134967366734</v>
      </c>
      <c r="J147" s="126">
        <f t="shared" si="31"/>
        <v>1.3900012502415509</v>
      </c>
      <c r="K147" s="126">
        <f t="shared" si="31"/>
        <v>1.3762220225149282</v>
      </c>
      <c r="L147" s="126">
        <f t="shared" si="31"/>
        <v>1.3620645244801115</v>
      </c>
      <c r="M147" s="126">
        <f t="shared" si="31"/>
        <v>1.3475170833007906</v>
      </c>
      <c r="N147" s="126">
        <f t="shared" si="31"/>
        <v>1.3325676283867229</v>
      </c>
      <c r="O147" s="126">
        <f t="shared" si="31"/>
        <v>1.3172036768667672</v>
      </c>
      <c r="P147" s="126">
        <f t="shared" si="31"/>
        <v>1.3014123185085014</v>
      </c>
      <c r="Q147" s="126">
        <f t="shared" si="31"/>
        <v>1.2851802000628425</v>
      </c>
      <c r="R147" s="126">
        <f t="shared" si="31"/>
        <v>1.2684935090112346</v>
      </c>
      <c r="S147" s="126">
        <f t="shared" si="31"/>
        <v>1.2513379566920755</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-4461844.8818571363</v>
      </c>
      <c r="D150" s="57" t="s">
        <v>476</v>
      </c>
    </row>
    <row r="151" spans="1:44" x14ac:dyDescent="0.25">
      <c r="B151" s="26" t="s">
        <v>477</v>
      </c>
      <c r="C151" s="153">
        <f>(1-$C$94)*NPV($C$91,E145:AR145)</f>
        <v>91165456.414855644</v>
      </c>
      <c r="D151" s="58" t="str">
        <f>$C$7</f>
        <v>kWh</v>
      </c>
      <c r="F151" s="59"/>
    </row>
    <row r="152" spans="1:44" x14ac:dyDescent="0.25">
      <c r="B152" s="26" t="s">
        <v>478</v>
      </c>
      <c r="C152" s="153">
        <f>$C$41*1000000</f>
        <v>7159769.9999999991</v>
      </c>
      <c r="D152" s="57" t="s">
        <v>424</v>
      </c>
      <c r="F152" s="60"/>
    </row>
    <row r="153" spans="1:44" x14ac:dyDescent="0.25">
      <c r="B153" s="26" t="s">
        <v>479</v>
      </c>
      <c r="C153" s="154">
        <f>AVERAGE(E147:AR147)</f>
        <v>1.3584150157383186</v>
      </c>
      <c r="D153" s="57"/>
      <c r="F153" s="60"/>
    </row>
    <row r="154" spans="1:44" x14ac:dyDescent="0.25">
      <c r="B154" s="26" t="s">
        <v>480</v>
      </c>
      <c r="C154" s="155" t="str">
        <f>CONCATENATE(ROUND(((1-$C$94)*$C$90*$C$92+$C$93*$C$91)*100,1),"% / ",ROUND((((1+(1-$C$94)*$C$90*$C$92+$C$93*$C$91)/(1+$C$89))-1)*100,1),"%")</f>
        <v>4.2% / 2.2%</v>
      </c>
      <c r="D154" s="57"/>
      <c r="F154" s="59"/>
      <c r="G154" s="61"/>
    </row>
    <row r="155" spans="1:44" x14ac:dyDescent="0.25">
      <c r="B155" s="26" t="s">
        <v>481</v>
      </c>
      <c r="C155" s="156">
        <f>IFERROR(IRR(D143:AR143),"n.v.t.")</f>
        <v>-9.6815308999620431E-2</v>
      </c>
      <c r="D155" s="57"/>
      <c r="F155" s="60"/>
      <c r="G155" s="61"/>
    </row>
    <row r="156" spans="1:44" x14ac:dyDescent="0.25">
      <c r="B156" s="26" t="s">
        <v>482</v>
      </c>
      <c r="C156" s="156" t="str">
        <f>IFERROR(IRR(D144:AR144),"n.v.t.")</f>
        <v>n.v.t.</v>
      </c>
      <c r="D156" s="57"/>
      <c r="G156" s="61"/>
    </row>
    <row r="157" spans="1:44" x14ac:dyDescent="0.25">
      <c r="B157" s="38" t="s">
        <v>483</v>
      </c>
      <c r="C157" s="153">
        <f>$C$92*C152-C97</f>
        <v>5011838.9999999991</v>
      </c>
      <c r="D157" s="57" t="s">
        <v>424</v>
      </c>
      <c r="F157" s="35"/>
    </row>
    <row r="158" spans="1:44" x14ac:dyDescent="0.25">
      <c r="B158" s="38" t="s">
        <v>484</v>
      </c>
      <c r="C158" s="153">
        <f>$C$93*C152-C98</f>
        <v>2147930.9999999995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2660</v>
      </c>
      <c r="D160" s="57" t="s">
        <v>340</v>
      </c>
      <c r="F160" s="35"/>
    </row>
    <row r="161" spans="2:44" x14ac:dyDescent="0.25">
      <c r="B161" s="43" t="s">
        <v>487</v>
      </c>
      <c r="C161" s="461" t="str">
        <f>CONCATENATE( "tussen ", INDEX(D112:X112, MATCH(0,D146:X146, -1)), " en ",  1 + INDEX(D112:X112, MATCH(0,D146:X146, -1)), " jaar")</f>
        <v>tussen 14 en 15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11" priority="3" operator="containsText" text="Pas op">
      <formula>NOT(ISERROR(SEARCH("Pas op",G1)))</formula>
    </cfRule>
  </conditionalFormatting>
  <conditionalFormatting sqref="G105">
    <cfRule type="containsText" dxfId="10" priority="1" operator="containsText" text="Pas op">
      <formula>NOT(ISERROR(SEARCH("Pas op",G105)))</formula>
    </cfRule>
  </conditionalFormatting>
  <conditionalFormatting sqref="G184:G1048576">
    <cfRule type="containsText" dxfId="9" priority="2" operator="containsText" text="Pas op">
      <formula>NOT(ISERROR(SEARCH("Pas op",G184)))</formula>
    </cfRule>
  </conditionalFormatting>
  <dataValidations count="3">
    <dataValidation type="list" allowBlank="1" showInputMessage="1" showErrorMessage="1" sqref="C14" xr:uid="{DDFA83FD-2A41-4094-B87C-11E23426BA22}">
      <formula1>"Nee,Ja,Geen warmte"</formula1>
    </dataValidation>
    <dataValidation type="list" allowBlank="1" showInputMessage="1" showErrorMessage="1" sqref="C7" xr:uid="{AF882C19-E1D4-45B6-B587-AEAD65C02A2C}">
      <formula1>"t CO2,kWh"</formula1>
    </dataValidation>
    <dataValidation type="list" allowBlank="1" showInputMessage="1" showErrorMessage="1" sqref="C37361 C102897 C168433 C233969 C299505 C365041 C430577 C496113 C561649 C627185 C692721 C758257 C823793 C889329 C954865" xr:uid="{A3BBAF47-4D28-4C37-9B8C-752C49C15B30}">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EA764FE9-6FBE-4DEC-AD8D-F4B08138B6CB}">
          <x14:formula1>
            <xm:f>Correcties!$A$8:$A$8</xm:f>
          </x14:formula1>
          <xm:sqref>C15</xm:sqref>
        </x14:dataValidation>
        <x14:dataValidation type="list" allowBlank="1" showInputMessage="1" showErrorMessage="1" xr:uid="{12BCBA7F-EE9C-4ADC-B0B2-6D82A28CDCF1}">
          <x14:formula1>
            <xm:f>Correcties!$A$27:$A$38</xm:f>
          </x14:formula1>
          <xm:sqref>C13</xm:sqref>
        </x14:dataValidation>
        <x14:dataValidation type="list" allowBlank="1" showInputMessage="1" showErrorMessage="1" xr:uid="{6E78C100-557D-4908-80BB-03720FB9B4CC}">
          <x14:formula1>
            <xm:f>Colofon!$B$34:$B$39</xm:f>
          </x14:formula1>
          <xm:sqref>C9</xm:sqref>
        </x14:dataValidation>
        <x14:dataValidation type="list" allowBlank="1" showInputMessage="1" showErrorMessage="1" xr:uid="{B2AC885F-885D-4ED1-BCB8-717F639E1B59}">
          <x14:formula1>
            <xm:f>Correcties!$A$10:$A$10</xm:f>
          </x14:formula1>
          <xm:sqref>C16</xm:sqref>
        </x14:dataValidation>
        <x14:dataValidation type="list" allowBlank="1" showInputMessage="1" showErrorMessage="1" xr:uid="{73F6F942-8C8E-498D-8A42-A52A8B5926E6}">
          <x14:formula1>
            <xm:f>Correcties!$A$4:$A$10</xm:f>
          </x14:formula1>
          <xm:sqref>C12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61D89-37DF-414A-895E-F290CFA69457}">
  <sheetPr codeName="Sheet108">
    <tabColor theme="5" tint="0.39997558519241921"/>
    <pageSetUpPr fitToPage="1"/>
  </sheetPr>
  <dimension ref="A1:AR198"/>
  <sheetViews>
    <sheetView showGridLines="0" topLeftCell="A125"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523</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7.8100000000000003E-2</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270.81427264409888</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IFERROR(INDEX(Correcties!$A$1:$I$301,MATCH('19'!C12,Correcties!$A$1:$A$301,0),5),"")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4500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4500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2450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1580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7.1597699999999991</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14.9</v>
      </c>
      <c r="D43" s="99" t="str">
        <f>CONCATENATE("Euro/",$C$8,"/jaar")</f>
        <v>Euro/kW/jaar</v>
      </c>
      <c r="E43" s="447" t="s">
        <v>357</v>
      </c>
      <c r="F43" s="447"/>
      <c r="G43" s="447"/>
      <c r="H43" s="447"/>
      <c r="I43" s="447"/>
      <c r="J43" s="447"/>
      <c r="K43" s="447"/>
      <c r="L43" s="447"/>
      <c r="M43" s="448"/>
    </row>
    <row r="44" spans="2:13" x14ac:dyDescent="0.25">
      <c r="B44" s="96" t="s">
        <v>359</v>
      </c>
      <c r="C44" s="348">
        <f>(C42*C21+C43*SUM(C26,C28))/1000</f>
        <v>67.05</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1.26E-2</v>
      </c>
      <c r="D48" s="99" t="str">
        <f>CONCATENATE("Euro/",$C$7)</f>
        <v>Euro/kWh</v>
      </c>
      <c r="E48" s="447"/>
      <c r="F48" s="447"/>
      <c r="G48" s="447"/>
      <c r="H48" s="447"/>
      <c r="I48" s="447"/>
      <c r="J48" s="447"/>
      <c r="K48" s="447"/>
      <c r="L48" s="447"/>
      <c r="M48" s="448"/>
    </row>
    <row r="49" spans="2:13" x14ac:dyDescent="0.25">
      <c r="B49" s="97" t="s">
        <v>366</v>
      </c>
      <c r="C49" s="142">
        <f>SUM(C45:C48)</f>
        <v>1.26E-2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2450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165375000</v>
      </c>
      <c r="D84" s="98" t="str">
        <f>C7</f>
        <v>kWh</v>
      </c>
      <c r="E84" s="447"/>
      <c r="F84" s="447"/>
      <c r="G84" s="447"/>
      <c r="H84" s="447"/>
      <c r="I84" s="447"/>
      <c r="J84" s="447"/>
      <c r="K84" s="447"/>
      <c r="L84" s="447"/>
      <c r="M84" s="448"/>
    </row>
    <row r="85" spans="2:13" x14ac:dyDescent="0.25">
      <c r="B85" s="113" t="s">
        <v>413</v>
      </c>
      <c r="C85" s="145">
        <f>IF(C77=0,SUM(E118:INDEX(E118:AR118,1,C73)),SUM(E118:INDEX(E118:AR118,1,C77)))</f>
        <v>220500000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0.04</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-7159769.9999999991</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11025000</v>
      </c>
      <c r="F115" s="379">
        <f t="shared" si="4"/>
        <v>11025000</v>
      </c>
      <c r="G115" s="379">
        <f t="shared" si="4"/>
        <v>11025000</v>
      </c>
      <c r="H115" s="379">
        <f t="shared" si="4"/>
        <v>11025000</v>
      </c>
      <c r="I115" s="379">
        <f t="shared" si="4"/>
        <v>11025000</v>
      </c>
      <c r="J115" s="379">
        <f t="shared" si="4"/>
        <v>11025000</v>
      </c>
      <c r="K115" s="379">
        <f t="shared" si="4"/>
        <v>11025000</v>
      </c>
      <c r="L115" s="379">
        <f t="shared" si="4"/>
        <v>11025000</v>
      </c>
      <c r="M115" s="379">
        <f t="shared" si="4"/>
        <v>11025000</v>
      </c>
      <c r="N115" s="379">
        <f t="shared" si="4"/>
        <v>11025000</v>
      </c>
      <c r="O115" s="379">
        <f t="shared" si="4"/>
        <v>11025000</v>
      </c>
      <c r="P115" s="379">
        <f t="shared" si="4"/>
        <v>11025000</v>
      </c>
      <c r="Q115" s="379">
        <f t="shared" si="4"/>
        <v>11025000</v>
      </c>
      <c r="R115" s="379">
        <f t="shared" si="4"/>
        <v>11025000</v>
      </c>
      <c r="S115" s="379">
        <f t="shared" si="4"/>
        <v>11025000</v>
      </c>
      <c r="T115" s="379">
        <f t="shared" si="4"/>
        <v>11025000</v>
      </c>
      <c r="U115" s="379">
        <f t="shared" si="4"/>
        <v>11025000</v>
      </c>
      <c r="V115" s="379">
        <f t="shared" si="4"/>
        <v>11025000</v>
      </c>
      <c r="W115" s="379">
        <f t="shared" si="4"/>
        <v>11025000</v>
      </c>
      <c r="X115" s="379">
        <f t="shared" si="4"/>
        <v>11025000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11025000</v>
      </c>
      <c r="F118" s="150">
        <f t="shared" ref="F118:AR118" si="7">SUM(F115:F117)</f>
        <v>11025000</v>
      </c>
      <c r="G118" s="150">
        <f t="shared" si="7"/>
        <v>11025000</v>
      </c>
      <c r="H118" s="150">
        <f t="shared" si="7"/>
        <v>11025000</v>
      </c>
      <c r="I118" s="150">
        <f t="shared" si="7"/>
        <v>11025000</v>
      </c>
      <c r="J118" s="150">
        <f t="shared" si="7"/>
        <v>11025000</v>
      </c>
      <c r="K118" s="150">
        <f t="shared" si="7"/>
        <v>11025000</v>
      </c>
      <c r="L118" s="150">
        <f t="shared" si="7"/>
        <v>11025000</v>
      </c>
      <c r="M118" s="150">
        <f t="shared" si="7"/>
        <v>11025000</v>
      </c>
      <c r="N118" s="150">
        <f t="shared" si="7"/>
        <v>11025000</v>
      </c>
      <c r="O118" s="150">
        <f t="shared" si="7"/>
        <v>11025000</v>
      </c>
      <c r="P118" s="150">
        <f t="shared" si="7"/>
        <v>11025000</v>
      </c>
      <c r="Q118" s="150">
        <f t="shared" si="7"/>
        <v>11025000</v>
      </c>
      <c r="R118" s="150">
        <f t="shared" si="7"/>
        <v>11025000</v>
      </c>
      <c r="S118" s="150">
        <f t="shared" si="7"/>
        <v>11025000</v>
      </c>
      <c r="T118" s="150">
        <f t="shared" si="7"/>
        <v>11025000</v>
      </c>
      <c r="U118" s="150">
        <f t="shared" si="7"/>
        <v>11025000</v>
      </c>
      <c r="V118" s="150">
        <f t="shared" si="7"/>
        <v>11025000</v>
      </c>
      <c r="W118" s="150">
        <f t="shared" si="7"/>
        <v>11025000</v>
      </c>
      <c r="X118" s="150">
        <f t="shared" si="7"/>
        <v>11025000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-205965</v>
      </c>
      <c r="F120" s="379">
        <f t="shared" ref="F120:AR120" si="8">IF(F112&gt;$C$73,0,-F109*(($C$42*$C$21+$C$43*SUM($C$26,$C$28))+F118*$C$49))+IF($C$101=F112,$D$101*F109,0)+IF($C$102=F112,$D$102*F109,0)+IF($C$103=F112,$D$103*F109,0)</f>
        <v>-210084.30000000002</v>
      </c>
      <c r="G120" s="379">
        <f t="shared" si="8"/>
        <v>-214285.986</v>
      </c>
      <c r="H120" s="379">
        <f t="shared" si="8"/>
        <v>-218571.70572</v>
      </c>
      <c r="I120" s="379">
        <f t="shared" si="8"/>
        <v>-222943.1398344</v>
      </c>
      <c r="J120" s="379">
        <f t="shared" si="8"/>
        <v>-227402.00263108799</v>
      </c>
      <c r="K120" s="379">
        <f t="shared" si="8"/>
        <v>-231950.04268370976</v>
      </c>
      <c r="L120" s="379">
        <f t="shared" si="8"/>
        <v>-236589.04353738393</v>
      </c>
      <c r="M120" s="379">
        <f t="shared" si="8"/>
        <v>-241320.82440813162</v>
      </c>
      <c r="N120" s="379">
        <f t="shared" si="8"/>
        <v>-246147.24089629424</v>
      </c>
      <c r="O120" s="379">
        <f t="shared" si="8"/>
        <v>-251070.18571422013</v>
      </c>
      <c r="P120" s="379">
        <f t="shared" si="8"/>
        <v>-256091.58942850449</v>
      </c>
      <c r="Q120" s="379">
        <f t="shared" si="8"/>
        <v>-261213.42121707465</v>
      </c>
      <c r="R120" s="379">
        <f t="shared" si="8"/>
        <v>-266437.68964141613</v>
      </c>
      <c r="S120" s="379">
        <f t="shared" si="8"/>
        <v>-271766.44343424449</v>
      </c>
      <c r="T120" s="379">
        <f t="shared" si="8"/>
        <v>-277201.77230292925</v>
      </c>
      <c r="U120" s="379">
        <f t="shared" si="8"/>
        <v>-282745.80774898792</v>
      </c>
      <c r="V120" s="379">
        <f t="shared" si="8"/>
        <v>-288400.72390396771</v>
      </c>
      <c r="W120" s="379">
        <f t="shared" si="8"/>
        <v>-294168.73838204698</v>
      </c>
      <c r="X120" s="379">
        <f t="shared" si="8"/>
        <v>-300052.11314968794</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648429.27139202808</v>
      </c>
      <c r="U127" s="379">
        <f t="shared" si="15"/>
        <v>661397.85681986879</v>
      </c>
      <c r="V127" s="379">
        <f t="shared" si="15"/>
        <v>674625.81395626615</v>
      </c>
      <c r="W127" s="379">
        <f t="shared" si="15"/>
        <v>688118.33023539139</v>
      </c>
      <c r="X127" s="379">
        <f t="shared" si="15"/>
        <v>701880.69684009929</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648429.27139202808</v>
      </c>
      <c r="U130" s="379">
        <f t="shared" si="17"/>
        <v>661397.85681986879</v>
      </c>
      <c r="V130" s="379">
        <f t="shared" si="17"/>
        <v>674625.81395626615</v>
      </c>
      <c r="W130" s="379">
        <f t="shared" si="17"/>
        <v>688118.33023539139</v>
      </c>
      <c r="X130" s="379">
        <f t="shared" si="17"/>
        <v>701880.69684009929</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-205965</v>
      </c>
      <c r="F131" s="379">
        <f t="shared" si="18"/>
        <v>-210084.30000000002</v>
      </c>
      <c r="G131" s="379">
        <f t="shared" si="18"/>
        <v>-214285.986</v>
      </c>
      <c r="H131" s="379">
        <f t="shared" si="18"/>
        <v>-218571.70572</v>
      </c>
      <c r="I131" s="379">
        <f t="shared" si="18"/>
        <v>-222943.1398344</v>
      </c>
      <c r="J131" s="379">
        <f t="shared" si="18"/>
        <v>-227402.00263108799</v>
      </c>
      <c r="K131" s="379">
        <f t="shared" si="18"/>
        <v>-231950.04268370976</v>
      </c>
      <c r="L131" s="379">
        <f t="shared" si="18"/>
        <v>-236589.04353738393</v>
      </c>
      <c r="M131" s="379">
        <f t="shared" si="18"/>
        <v>-241320.82440813162</v>
      </c>
      <c r="N131" s="379">
        <f t="shared" si="18"/>
        <v>-246147.24089629424</v>
      </c>
      <c r="O131" s="379">
        <f t="shared" si="18"/>
        <v>-251070.18571422013</v>
      </c>
      <c r="P131" s="379">
        <f t="shared" si="18"/>
        <v>-256091.58942850449</v>
      </c>
      <c r="Q131" s="379">
        <f t="shared" si="18"/>
        <v>-261213.42121707465</v>
      </c>
      <c r="R131" s="379">
        <f t="shared" si="18"/>
        <v>-266437.68964141613</v>
      </c>
      <c r="S131" s="379">
        <f t="shared" si="18"/>
        <v>-271766.44343424449</v>
      </c>
      <c r="T131" s="379">
        <f t="shared" si="18"/>
        <v>-277201.77230292925</v>
      </c>
      <c r="U131" s="379">
        <f t="shared" si="18"/>
        <v>-282745.80774898792</v>
      </c>
      <c r="V131" s="379">
        <f t="shared" si="18"/>
        <v>-288400.72390396771</v>
      </c>
      <c r="W131" s="379">
        <f t="shared" si="18"/>
        <v>-294168.73838204698</v>
      </c>
      <c r="X131" s="379">
        <f t="shared" si="18"/>
        <v>-300052.11314968794</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-205965</v>
      </c>
      <c r="F132" s="386">
        <f t="shared" ref="F132:AR132" si="19">SUM(F130:F131)</f>
        <v>-210084.30000000002</v>
      </c>
      <c r="G132" s="386">
        <f t="shared" si="19"/>
        <v>-214285.986</v>
      </c>
      <c r="H132" s="386">
        <f t="shared" si="19"/>
        <v>-218571.70572</v>
      </c>
      <c r="I132" s="386">
        <f t="shared" si="19"/>
        <v>-222943.1398344</v>
      </c>
      <c r="J132" s="386">
        <f t="shared" si="19"/>
        <v>-227402.00263108799</v>
      </c>
      <c r="K132" s="386">
        <f t="shared" si="19"/>
        <v>-231950.04268370976</v>
      </c>
      <c r="L132" s="386">
        <f t="shared" si="19"/>
        <v>-236589.04353738393</v>
      </c>
      <c r="M132" s="386">
        <f t="shared" si="19"/>
        <v>-241320.82440813162</v>
      </c>
      <c r="N132" s="386">
        <f t="shared" si="19"/>
        <v>-246147.24089629424</v>
      </c>
      <c r="O132" s="386">
        <f t="shared" si="19"/>
        <v>-251070.18571422013</v>
      </c>
      <c r="P132" s="386">
        <f t="shared" si="19"/>
        <v>-256091.58942850449</v>
      </c>
      <c r="Q132" s="386">
        <f t="shared" si="19"/>
        <v>-261213.42121707465</v>
      </c>
      <c r="R132" s="386">
        <f t="shared" si="19"/>
        <v>-266437.68964141613</v>
      </c>
      <c r="S132" s="386">
        <f t="shared" si="19"/>
        <v>-271766.44343424449</v>
      </c>
      <c r="T132" s="386">
        <f t="shared" si="19"/>
        <v>371227.49908909883</v>
      </c>
      <c r="U132" s="386">
        <f t="shared" si="19"/>
        <v>378652.04907088086</v>
      </c>
      <c r="V132" s="386">
        <f t="shared" si="19"/>
        <v>386225.09005229844</v>
      </c>
      <c r="W132" s="386">
        <f t="shared" si="19"/>
        <v>393949.59185334441</v>
      </c>
      <c r="X132" s="386">
        <f t="shared" si="19"/>
        <v>401828.58369041135</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-477317.99999999994</v>
      </c>
      <c r="F134" s="379">
        <f t="shared" si="20"/>
        <v>-477317.99999999994</v>
      </c>
      <c r="G134" s="379">
        <f t="shared" si="20"/>
        <v>-477317.99999999994</v>
      </c>
      <c r="H134" s="379">
        <f t="shared" si="20"/>
        <v>-477317.99999999994</v>
      </c>
      <c r="I134" s="379">
        <f t="shared" si="20"/>
        <v>-477317.99999999994</v>
      </c>
      <c r="J134" s="379">
        <f t="shared" si="20"/>
        <v>-477317.99999999994</v>
      </c>
      <c r="K134" s="379">
        <f t="shared" si="20"/>
        <v>-477317.99999999994</v>
      </c>
      <c r="L134" s="379">
        <f t="shared" si="20"/>
        <v>-477317.99999999994</v>
      </c>
      <c r="M134" s="379">
        <f t="shared" si="20"/>
        <v>-477317.99999999994</v>
      </c>
      <c r="N134" s="379">
        <f t="shared" si="20"/>
        <v>-477317.99999999994</v>
      </c>
      <c r="O134" s="379">
        <f t="shared" si="20"/>
        <v>-477317.99999999994</v>
      </c>
      <c r="P134" s="379">
        <f t="shared" si="20"/>
        <v>-477317.99999999994</v>
      </c>
      <c r="Q134" s="379">
        <f t="shared" si="20"/>
        <v>-477317.99999999994</v>
      </c>
      <c r="R134" s="379">
        <f t="shared" si="20"/>
        <v>-477317.99999999994</v>
      </c>
      <c r="S134" s="379">
        <f t="shared" si="20"/>
        <v>-477317.99999999994</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-200473.55999999997</v>
      </c>
      <c r="F135" s="379">
        <f t="shared" si="21"/>
        <v>-190461.68981831361</v>
      </c>
      <c r="G135" s="379">
        <f t="shared" si="21"/>
        <v>-180049.34482935988</v>
      </c>
      <c r="H135" s="379">
        <f t="shared" si="21"/>
        <v>-169220.50604084795</v>
      </c>
      <c r="I135" s="379">
        <f t="shared" si="21"/>
        <v>-157958.51370079556</v>
      </c>
      <c r="J135" s="379">
        <f t="shared" si="21"/>
        <v>-146246.04166714105</v>
      </c>
      <c r="K135" s="379">
        <f t="shared" si="21"/>
        <v>-134065.07075214037</v>
      </c>
      <c r="L135" s="379">
        <f t="shared" si="21"/>
        <v>-121396.86100053968</v>
      </c>
      <c r="M135" s="379">
        <f t="shared" si="21"/>
        <v>-108221.92285887497</v>
      </c>
      <c r="N135" s="379">
        <f t="shared" si="21"/>
        <v>-94519.987191543638</v>
      </c>
      <c r="O135" s="379">
        <f t="shared" si="21"/>
        <v>-80269.97409751908</v>
      </c>
      <c r="P135" s="379">
        <f t="shared" si="21"/>
        <v>-65449.960479733534</v>
      </c>
      <c r="Q135" s="379">
        <f t="shared" si="21"/>
        <v>-50037.146317236562</v>
      </c>
      <c r="R135" s="379">
        <f t="shared" si="21"/>
        <v>-34007.819588239712</v>
      </c>
      <c r="S135" s="379">
        <f t="shared" si="21"/>
        <v>-17337.319790082995</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-250296.75454215793</v>
      </c>
      <c r="F136" s="379">
        <f t="shared" si="22"/>
        <v>-260308.6247238442</v>
      </c>
      <c r="G136" s="379">
        <f t="shared" si="22"/>
        <v>-270720.9697127979</v>
      </c>
      <c r="H136" s="379">
        <f t="shared" si="22"/>
        <v>-281549.80850130989</v>
      </c>
      <c r="I136" s="379">
        <f t="shared" si="22"/>
        <v>-292811.80084136227</v>
      </c>
      <c r="J136" s="379">
        <f t="shared" si="22"/>
        <v>-304524.27287501673</v>
      </c>
      <c r="K136" s="379">
        <f t="shared" si="22"/>
        <v>-316705.24379001738</v>
      </c>
      <c r="L136" s="379">
        <f t="shared" si="22"/>
        <v>-329373.45354161813</v>
      </c>
      <c r="M136" s="379">
        <f t="shared" si="22"/>
        <v>-342548.39168328285</v>
      </c>
      <c r="N136" s="379">
        <f t="shared" si="22"/>
        <v>-356250.32735061413</v>
      </c>
      <c r="O136" s="379">
        <f t="shared" si="22"/>
        <v>-370500.34044463874</v>
      </c>
      <c r="P136" s="379">
        <f t="shared" si="22"/>
        <v>-385320.35406242422</v>
      </c>
      <c r="Q136" s="379">
        <f t="shared" si="22"/>
        <v>-400733.16822492122</v>
      </c>
      <c r="R136" s="379">
        <f t="shared" si="22"/>
        <v>-416762.4949539181</v>
      </c>
      <c r="S136" s="379">
        <f t="shared" si="22"/>
        <v>-433432.99475207488</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-450770.31454215792</v>
      </c>
      <c r="F137" s="386">
        <f t="shared" ref="F137:AR137" si="23">SUM(F135,F136)</f>
        <v>-450770.31454215781</v>
      </c>
      <c r="G137" s="386">
        <f t="shared" si="23"/>
        <v>-450770.31454215781</v>
      </c>
      <c r="H137" s="386">
        <f t="shared" si="23"/>
        <v>-450770.31454215781</v>
      </c>
      <c r="I137" s="386">
        <f t="shared" si="23"/>
        <v>-450770.31454215781</v>
      </c>
      <c r="J137" s="386">
        <f t="shared" si="23"/>
        <v>-450770.31454215781</v>
      </c>
      <c r="K137" s="386">
        <f t="shared" si="23"/>
        <v>-450770.31454215775</v>
      </c>
      <c r="L137" s="386">
        <f t="shared" si="23"/>
        <v>-450770.31454215781</v>
      </c>
      <c r="M137" s="386">
        <f t="shared" si="23"/>
        <v>-450770.31454215781</v>
      </c>
      <c r="N137" s="386">
        <f t="shared" si="23"/>
        <v>-450770.31454215775</v>
      </c>
      <c r="O137" s="386">
        <f t="shared" si="23"/>
        <v>-450770.31454215781</v>
      </c>
      <c r="P137" s="386">
        <f t="shared" si="23"/>
        <v>-450770.31454215775</v>
      </c>
      <c r="Q137" s="386">
        <f t="shared" si="23"/>
        <v>-450770.31454215781</v>
      </c>
      <c r="R137" s="386">
        <f t="shared" si="23"/>
        <v>-450770.31454215781</v>
      </c>
      <c r="S137" s="386">
        <f t="shared" si="23"/>
        <v>-450770.31454215787</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-883756.55999999994</v>
      </c>
      <c r="F139" s="379">
        <f t="shared" ref="F139:AR139" si="24">F132+F134+F135</f>
        <v>-877863.98981831351</v>
      </c>
      <c r="G139" s="379">
        <f t="shared" si="24"/>
        <v>-871653.33082935982</v>
      </c>
      <c r="H139" s="379">
        <f t="shared" si="24"/>
        <v>-865110.21176084795</v>
      </c>
      <c r="I139" s="379">
        <f t="shared" si="24"/>
        <v>-858219.65353519551</v>
      </c>
      <c r="J139" s="379">
        <f t="shared" si="24"/>
        <v>-850966.04429822892</v>
      </c>
      <c r="K139" s="379">
        <f t="shared" si="24"/>
        <v>-843333.11343585001</v>
      </c>
      <c r="L139" s="379">
        <f t="shared" si="24"/>
        <v>-835303.90453792363</v>
      </c>
      <c r="M139" s="379">
        <f t="shared" si="24"/>
        <v>-826860.74726700655</v>
      </c>
      <c r="N139" s="379">
        <f t="shared" si="24"/>
        <v>-817985.22808783781</v>
      </c>
      <c r="O139" s="379">
        <f t="shared" si="24"/>
        <v>-808658.15981173911</v>
      </c>
      <c r="P139" s="379">
        <f t="shared" si="24"/>
        <v>-798859.549908238</v>
      </c>
      <c r="Q139" s="379">
        <f t="shared" si="24"/>
        <v>-788568.56753431121</v>
      </c>
      <c r="R139" s="379">
        <f t="shared" si="24"/>
        <v>-777763.50922965584</v>
      </c>
      <c r="S139" s="379">
        <f t="shared" si="24"/>
        <v>-766421.76322432747</v>
      </c>
      <c r="T139" s="379">
        <f t="shared" si="24"/>
        <v>371227.49908909883</v>
      </c>
      <c r="U139" s="379">
        <f t="shared" si="24"/>
        <v>378652.04907088086</v>
      </c>
      <c r="V139" s="379">
        <f t="shared" si="24"/>
        <v>386225.09005229844</v>
      </c>
      <c r="W139" s="379">
        <f t="shared" si="24"/>
        <v>393949.59185334441</v>
      </c>
      <c r="X139" s="379">
        <f t="shared" si="24"/>
        <v>401828.58369041135</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167913.7464</v>
      </c>
      <c r="F140" s="379">
        <f t="shared" si="25"/>
        <v>166794.15806547957</v>
      </c>
      <c r="G140" s="379">
        <f t="shared" si="25"/>
        <v>165614.13285757837</v>
      </c>
      <c r="H140" s="379">
        <f t="shared" si="25"/>
        <v>164370.9402345611</v>
      </c>
      <c r="I140" s="379">
        <f t="shared" si="25"/>
        <v>163061.73417168716</v>
      </c>
      <c r="J140" s="379">
        <f t="shared" si="25"/>
        <v>161683.54841666349</v>
      </c>
      <c r="K140" s="379">
        <f t="shared" si="25"/>
        <v>160233.29155281151</v>
      </c>
      <c r="L140" s="379">
        <f t="shared" si="25"/>
        <v>158707.7418622055</v>
      </c>
      <c r="M140" s="379">
        <f t="shared" si="25"/>
        <v>157103.54198073124</v>
      </c>
      <c r="N140" s="379">
        <f t="shared" si="25"/>
        <v>155417.19333668918</v>
      </c>
      <c r="O140" s="379">
        <f t="shared" si="25"/>
        <v>153645.05036423044</v>
      </c>
      <c r="P140" s="379">
        <f t="shared" si="25"/>
        <v>151783.31448256521</v>
      </c>
      <c r="Q140" s="379">
        <f t="shared" si="25"/>
        <v>149828.02783151914</v>
      </c>
      <c r="R140" s="379">
        <f t="shared" si="25"/>
        <v>147775.0667536346</v>
      </c>
      <c r="S140" s="379">
        <f t="shared" si="25"/>
        <v>145620.13501262222</v>
      </c>
      <c r="T140" s="379">
        <f t="shared" si="25"/>
        <v>-70533.224826928781</v>
      </c>
      <c r="U140" s="379">
        <f t="shared" si="25"/>
        <v>-71943.88932346736</v>
      </c>
      <c r="V140" s="379">
        <f t="shared" si="25"/>
        <v>-73382.7671099367</v>
      </c>
      <c r="W140" s="379">
        <f t="shared" si="25"/>
        <v>-74850.422452135434</v>
      </c>
      <c r="X140" s="379">
        <f t="shared" si="25"/>
        <v>-76347.430901178159</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-488821.56814215792</v>
      </c>
      <c r="F142" s="386">
        <f t="shared" si="26"/>
        <v>-494060.45647667826</v>
      </c>
      <c r="G142" s="386">
        <f t="shared" si="26"/>
        <v>-499442.1676845795</v>
      </c>
      <c r="H142" s="386">
        <f t="shared" si="26"/>
        <v>-504971.08002759668</v>
      </c>
      <c r="I142" s="386">
        <f t="shared" si="26"/>
        <v>-510651.72020487068</v>
      </c>
      <c r="J142" s="386">
        <f t="shared" si="26"/>
        <v>-516488.76875658234</v>
      </c>
      <c r="K142" s="386">
        <f t="shared" si="26"/>
        <v>-522487.06567305594</v>
      </c>
      <c r="L142" s="386">
        <f t="shared" si="26"/>
        <v>-528651.61621733615</v>
      </c>
      <c r="M142" s="386">
        <f t="shared" si="26"/>
        <v>-534987.59696955816</v>
      </c>
      <c r="N142" s="386">
        <f t="shared" si="26"/>
        <v>-541500.36210176279</v>
      </c>
      <c r="O142" s="386">
        <f t="shared" si="26"/>
        <v>-548195.44989214756</v>
      </c>
      <c r="P142" s="386">
        <f t="shared" si="26"/>
        <v>-555078.589488097</v>
      </c>
      <c r="Q142" s="386">
        <f t="shared" si="26"/>
        <v>-562155.70792771329</v>
      </c>
      <c r="R142" s="386">
        <f t="shared" si="26"/>
        <v>-569432.93742993928</v>
      </c>
      <c r="S142" s="386">
        <f t="shared" si="26"/>
        <v>-576916.62296378007</v>
      </c>
      <c r="T142" s="386">
        <f t="shared" si="26"/>
        <v>300694.27426217007</v>
      </c>
      <c r="U142" s="386">
        <f t="shared" si="26"/>
        <v>306708.15974741348</v>
      </c>
      <c r="V142" s="386">
        <f t="shared" si="26"/>
        <v>312842.32294236176</v>
      </c>
      <c r="W142" s="386">
        <f t="shared" si="26"/>
        <v>319099.16940120899</v>
      </c>
      <c r="X142" s="386">
        <f t="shared" si="26"/>
        <v>325481.15278923319</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-7159769.9999999981</v>
      </c>
      <c r="E143" s="379">
        <f>E132+E140</f>
        <v>-38051.253599999996</v>
      </c>
      <c r="F143" s="379">
        <f t="shared" ref="F143:AR143" si="27">F132+F140</f>
        <v>-43290.141934520449</v>
      </c>
      <c r="G143" s="379">
        <f t="shared" si="27"/>
        <v>-48671.853142421634</v>
      </c>
      <c r="H143" s="379">
        <f t="shared" si="27"/>
        <v>-54200.765485438897</v>
      </c>
      <c r="I143" s="379">
        <f t="shared" si="27"/>
        <v>-59881.405662712845</v>
      </c>
      <c r="J143" s="379">
        <f t="shared" si="27"/>
        <v>-65718.454214424506</v>
      </c>
      <c r="K143" s="379">
        <f t="shared" si="27"/>
        <v>-71716.75113089825</v>
      </c>
      <c r="L143" s="379">
        <f t="shared" si="27"/>
        <v>-77881.301675178431</v>
      </c>
      <c r="M143" s="379">
        <f t="shared" si="27"/>
        <v>-84217.28242740038</v>
      </c>
      <c r="N143" s="379">
        <f t="shared" si="27"/>
        <v>-90730.047559605067</v>
      </c>
      <c r="O143" s="379">
        <f t="shared" si="27"/>
        <v>-97425.135349989694</v>
      </c>
      <c r="P143" s="379">
        <f t="shared" si="27"/>
        <v>-104308.27494593928</v>
      </c>
      <c r="Q143" s="379">
        <f t="shared" si="27"/>
        <v>-111385.39338555551</v>
      </c>
      <c r="R143" s="379">
        <f t="shared" si="27"/>
        <v>-118662.62288778153</v>
      </c>
      <c r="S143" s="379">
        <f t="shared" si="27"/>
        <v>-126146.30842162226</v>
      </c>
      <c r="T143" s="379">
        <f t="shared" si="27"/>
        <v>300694.27426217007</v>
      </c>
      <c r="U143" s="379">
        <f t="shared" si="27"/>
        <v>306708.15974741348</v>
      </c>
      <c r="V143" s="379">
        <f t="shared" si="27"/>
        <v>312842.32294236176</v>
      </c>
      <c r="W143" s="379">
        <f t="shared" si="27"/>
        <v>319099.16940120899</v>
      </c>
      <c r="X143" s="379">
        <f t="shared" si="27"/>
        <v>325481.15278923319</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-2147930.9999999995</v>
      </c>
      <c r="E144" s="379">
        <f>E142</f>
        <v>-488821.56814215792</v>
      </c>
      <c r="F144" s="379">
        <f t="shared" ref="F144:AR144" si="28">F142</f>
        <v>-494060.45647667826</v>
      </c>
      <c r="G144" s="379">
        <f t="shared" si="28"/>
        <v>-499442.1676845795</v>
      </c>
      <c r="H144" s="379">
        <f t="shared" si="28"/>
        <v>-504971.08002759668</v>
      </c>
      <c r="I144" s="379">
        <f t="shared" si="28"/>
        <v>-510651.72020487068</v>
      </c>
      <c r="J144" s="379">
        <f t="shared" si="28"/>
        <v>-516488.76875658234</v>
      </c>
      <c r="K144" s="379">
        <f t="shared" si="28"/>
        <v>-522487.06567305594</v>
      </c>
      <c r="L144" s="379">
        <f t="shared" si="28"/>
        <v>-528651.61621733615</v>
      </c>
      <c r="M144" s="379">
        <f t="shared" si="28"/>
        <v>-534987.59696955816</v>
      </c>
      <c r="N144" s="379">
        <f t="shared" si="28"/>
        <v>-541500.36210176279</v>
      </c>
      <c r="O144" s="379">
        <f t="shared" si="28"/>
        <v>-548195.44989214756</v>
      </c>
      <c r="P144" s="379">
        <f t="shared" si="28"/>
        <v>-555078.589488097</v>
      </c>
      <c r="Q144" s="379">
        <f t="shared" si="28"/>
        <v>-562155.70792771329</v>
      </c>
      <c r="R144" s="379">
        <f t="shared" si="28"/>
        <v>-569432.93742993928</v>
      </c>
      <c r="S144" s="379">
        <f t="shared" si="28"/>
        <v>-576916.62296378007</v>
      </c>
      <c r="T144" s="379">
        <f t="shared" si="28"/>
        <v>300694.27426217007</v>
      </c>
      <c r="U144" s="379">
        <f t="shared" si="28"/>
        <v>306708.15974741348</v>
      </c>
      <c r="V144" s="379">
        <f t="shared" si="28"/>
        <v>312842.32294236176</v>
      </c>
      <c r="W144" s="379">
        <f t="shared" si="28"/>
        <v>319099.16940120899</v>
      </c>
      <c r="X144" s="379">
        <f t="shared" si="28"/>
        <v>325481.15278923319</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11025000</v>
      </c>
      <c r="F145" s="379">
        <f t="shared" si="29"/>
        <v>11025000</v>
      </c>
      <c r="G145" s="379">
        <f t="shared" si="29"/>
        <v>11025000</v>
      </c>
      <c r="H145" s="379">
        <f t="shared" si="29"/>
        <v>11025000</v>
      </c>
      <c r="I145" s="379">
        <f t="shared" si="29"/>
        <v>11025000</v>
      </c>
      <c r="J145" s="379">
        <f t="shared" si="29"/>
        <v>11025000</v>
      </c>
      <c r="K145" s="379">
        <f t="shared" si="29"/>
        <v>11025000</v>
      </c>
      <c r="L145" s="379">
        <f t="shared" si="29"/>
        <v>11025000</v>
      </c>
      <c r="M145" s="379">
        <f t="shared" si="29"/>
        <v>11025000</v>
      </c>
      <c r="N145" s="379">
        <f t="shared" si="29"/>
        <v>11025000</v>
      </c>
      <c r="O145" s="379">
        <f t="shared" si="29"/>
        <v>11025000</v>
      </c>
      <c r="P145" s="379">
        <f t="shared" si="29"/>
        <v>11025000</v>
      </c>
      <c r="Q145" s="379">
        <f t="shared" si="29"/>
        <v>11025000</v>
      </c>
      <c r="R145" s="379">
        <f t="shared" si="29"/>
        <v>11025000</v>
      </c>
      <c r="S145" s="379">
        <f t="shared" si="29"/>
        <v>11025000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7159769.9999999991</v>
      </c>
      <c r="E146" s="123">
        <f>IF(E112&lt;=$C76,D146-($C$5*E118+E132+E135),D146-(E132+E135))</f>
        <v>6705156.0599999987</v>
      </c>
      <c r="F146" s="123">
        <f t="shared" ref="F146:AR146" si="30">IF(F112&lt;=$C76,E146-($C$5*F118+F132+F135),E146-(F132+F135))</f>
        <v>6244649.5498183127</v>
      </c>
      <c r="G146" s="123">
        <f t="shared" si="30"/>
        <v>5777932.3806476723</v>
      </c>
      <c r="H146" s="123">
        <f t="shared" si="30"/>
        <v>5304672.0924085202</v>
      </c>
      <c r="I146" s="123">
        <f>IF(I112&lt;=$C76,H146-($C$5*I118+I132+I135),H146-(I132+I135))</f>
        <v>4824521.2459437158</v>
      </c>
      <c r="J146" s="123">
        <f t="shared" si="30"/>
        <v>4337116.7902419446</v>
      </c>
      <c r="K146" s="123">
        <f>IF(K112&lt;=$C76,J146-($C$5*K118+K132+K135),J146-(K132+K135))</f>
        <v>3842079.4036777946</v>
      </c>
      <c r="L146" s="123">
        <f t="shared" si="30"/>
        <v>3339012.8082157183</v>
      </c>
      <c r="M146" s="123">
        <f t="shared" si="30"/>
        <v>2827503.0554827247</v>
      </c>
      <c r="N146" s="123">
        <f t="shared" si="30"/>
        <v>2307117.7835705625</v>
      </c>
      <c r="O146" s="123">
        <f t="shared" si="30"/>
        <v>1777405.4433823018</v>
      </c>
      <c r="P146" s="123">
        <f t="shared" si="30"/>
        <v>1237894.4932905398</v>
      </c>
      <c r="Q146" s="123">
        <f t="shared" si="30"/>
        <v>688092.56082485104</v>
      </c>
      <c r="R146" s="123">
        <f t="shared" si="30"/>
        <v>127485.57005450688</v>
      </c>
      <c r="S146" s="123">
        <f t="shared" si="30"/>
        <v>-444463.16672116565</v>
      </c>
      <c r="T146" s="123">
        <f t="shared" si="30"/>
        <v>-815690.66581026441</v>
      </c>
      <c r="U146" s="123">
        <f t="shared" si="30"/>
        <v>-1194342.7148811454</v>
      </c>
      <c r="V146" s="123">
        <f t="shared" si="30"/>
        <v>-1580567.8049334439</v>
      </c>
      <c r="W146" s="123">
        <f t="shared" si="30"/>
        <v>-1974517.3967867882</v>
      </c>
      <c r="X146" s="123">
        <f t="shared" si="30"/>
        <v>-2376345.9804771994</v>
      </c>
      <c r="Y146" s="123">
        <f t="shared" si="30"/>
        <v>-2376345.9804771994</v>
      </c>
      <c r="Z146" s="123">
        <f t="shared" si="30"/>
        <v>-2376345.9804771994</v>
      </c>
      <c r="AA146" s="123">
        <f>IF(AA112&lt;=$C76,Z146-($C$5*AA118+AA132+AA135),Z146-(AA132+AA135))</f>
        <v>-2376345.9804771994</v>
      </c>
      <c r="AB146" s="123">
        <f t="shared" si="30"/>
        <v>-2376345.9804771994</v>
      </c>
      <c r="AC146" s="123">
        <f t="shared" si="30"/>
        <v>-2376345.9804771994</v>
      </c>
      <c r="AD146" s="123">
        <f t="shared" si="30"/>
        <v>-2376345.9804771994</v>
      </c>
      <c r="AE146" s="123">
        <f>IF(AE112&lt;=$C76,AD146-($C$5*AE118+AE132+AE135),AD146-(AE132+AE135))</f>
        <v>-2376345.9804771994</v>
      </c>
      <c r="AF146" s="123">
        <f t="shared" si="30"/>
        <v>-2376345.9804771994</v>
      </c>
      <c r="AG146" s="123">
        <f>IF(AG112&lt;=$C76,AF146-($C$5*AG118+AG132+AG135),AF146-(AG132+AG135))</f>
        <v>-2376345.9804771994</v>
      </c>
      <c r="AH146" s="123">
        <f t="shared" si="30"/>
        <v>-2376345.9804771994</v>
      </c>
      <c r="AI146" s="123">
        <f t="shared" si="30"/>
        <v>-2376345.9804771994</v>
      </c>
      <c r="AJ146" s="123">
        <f t="shared" si="30"/>
        <v>-2376345.9804771994</v>
      </c>
      <c r="AK146" s="123">
        <f t="shared" si="30"/>
        <v>-2376345.9804771994</v>
      </c>
      <c r="AL146" s="123">
        <f t="shared" si="30"/>
        <v>-2376345.9804771994</v>
      </c>
      <c r="AM146" s="123">
        <f t="shared" si="30"/>
        <v>-2376345.9804771994</v>
      </c>
      <c r="AN146" s="123">
        <f t="shared" si="30"/>
        <v>-2376345.9804771994</v>
      </c>
      <c r="AO146" s="123">
        <f t="shared" si="30"/>
        <v>-2376345.9804771994</v>
      </c>
      <c r="AP146" s="123">
        <f t="shared" si="30"/>
        <v>-2376345.9804771994</v>
      </c>
      <c r="AQ146" s="123">
        <f t="shared" si="30"/>
        <v>-2376345.9804771994</v>
      </c>
      <c r="AR146" s="387">
        <f t="shared" si="30"/>
        <v>-2376345.9804771994</v>
      </c>
    </row>
    <row r="147" spans="1:44" ht="13" thickBot="1" x14ac:dyDescent="0.3">
      <c r="B147" s="124" t="s">
        <v>473</v>
      </c>
      <c r="C147" s="125"/>
      <c r="D147" s="125"/>
      <c r="E147" s="126">
        <f t="shared" ref="E147:AR147" si="31">IF(E112&gt;$C$74,"",(-$C$94*(E139+$C$5*E118)+E132+$C$5*E118)/-E137)</f>
        <v>1.462832067967355</v>
      </c>
      <c r="F147" s="126">
        <f t="shared" si="31"/>
        <v>1.4512099886832714</v>
      </c>
      <c r="G147" s="126">
        <f t="shared" si="31"/>
        <v>1.4392710676090934</v>
      </c>
      <c r="H147" s="126">
        <f t="shared" si="31"/>
        <v>1.4270055919008431</v>
      </c>
      <c r="I147" s="126">
        <f t="shared" si="31"/>
        <v>1.414403519417335</v>
      </c>
      <c r="J147" s="126">
        <f t="shared" si="31"/>
        <v>1.401454466732621</v>
      </c>
      <c r="K147" s="126">
        <f t="shared" si="31"/>
        <v>1.3881476966926147</v>
      </c>
      <c r="L147" s="126">
        <f t="shared" si="31"/>
        <v>1.3744721054981468</v>
      </c>
      <c r="M147" s="126">
        <f t="shared" si="31"/>
        <v>1.3604162092959815</v>
      </c>
      <c r="N147" s="126">
        <f t="shared" si="31"/>
        <v>1.3459681302586131</v>
      </c>
      <c r="O147" s="126">
        <f t="shared" si="31"/>
        <v>1.3311155821328899</v>
      </c>
      <c r="P147" s="126">
        <f t="shared" si="31"/>
        <v>1.3158458552367418</v>
      </c>
      <c r="Q147" s="126">
        <f t="shared" si="31"/>
        <v>1.3001458008824431</v>
      </c>
      <c r="R147" s="126">
        <f t="shared" si="31"/>
        <v>1.284001815204022</v>
      </c>
      <c r="S147" s="126">
        <f t="shared" si="31"/>
        <v>1.2673998223655141</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-4413426.1701308023</v>
      </c>
      <c r="D150" s="57" t="s">
        <v>476</v>
      </c>
    </row>
    <row r="151" spans="1:44" x14ac:dyDescent="0.25">
      <c r="B151" s="26" t="s">
        <v>477</v>
      </c>
      <c r="C151" s="153">
        <f>(1-$C$94)*NPV($C$91,E145:AR145)</f>
        <v>83968183.539998621</v>
      </c>
      <c r="D151" s="58" t="str">
        <f>$C$7</f>
        <v>kWh</v>
      </c>
      <c r="F151" s="59"/>
    </row>
    <row r="152" spans="1:44" x14ac:dyDescent="0.25">
      <c r="B152" s="26" t="s">
        <v>478</v>
      </c>
      <c r="C152" s="153">
        <f>$C$41*1000000</f>
        <v>7159769.9999999991</v>
      </c>
      <c r="D152" s="57" t="s">
        <v>424</v>
      </c>
      <c r="F152" s="60"/>
    </row>
    <row r="153" spans="1:44" x14ac:dyDescent="0.25">
      <c r="B153" s="26" t="s">
        <v>479</v>
      </c>
      <c r="C153" s="154">
        <f>AVERAGE(E147:AR147)</f>
        <v>1.3709126479918325</v>
      </c>
      <c r="D153" s="57"/>
      <c r="F153" s="60"/>
    </row>
    <row r="154" spans="1:44" x14ac:dyDescent="0.25">
      <c r="B154" s="26" t="s">
        <v>480</v>
      </c>
      <c r="C154" s="155" t="str">
        <f>CONCATENATE(ROUND(((1-$C$94)*$C$90*$C$92+$C$93*$C$91)*100,1),"% / ",ROUND((((1+(1-$C$94)*$C$90*$C$92+$C$93*$C$91)/(1+$C$89))-1)*100,1),"%")</f>
        <v>4.2% / 2.2%</v>
      </c>
      <c r="D154" s="57"/>
      <c r="F154" s="59"/>
      <c r="G154" s="61"/>
    </row>
    <row r="155" spans="1:44" x14ac:dyDescent="0.25">
      <c r="B155" s="26" t="s">
        <v>481</v>
      </c>
      <c r="C155" s="156">
        <f>IFERROR(IRR(D143:AR143),"n.v.t.")</f>
        <v>-0.10059289721394526</v>
      </c>
      <c r="D155" s="57"/>
      <c r="F155" s="60"/>
      <c r="G155" s="61"/>
    </row>
    <row r="156" spans="1:44" x14ac:dyDescent="0.25">
      <c r="B156" s="26" t="s">
        <v>482</v>
      </c>
      <c r="C156" s="156" t="str">
        <f>IFERROR(IRR(D144:AR144),"n.v.t.")</f>
        <v>n.v.t.</v>
      </c>
      <c r="D156" s="57"/>
      <c r="G156" s="61"/>
    </row>
    <row r="157" spans="1:44" x14ac:dyDescent="0.25">
      <c r="B157" s="38" t="s">
        <v>483</v>
      </c>
      <c r="C157" s="153">
        <f>$C$92*C152-C97</f>
        <v>5011838.9999999991</v>
      </c>
      <c r="D157" s="57" t="s">
        <v>424</v>
      </c>
      <c r="F157" s="35"/>
    </row>
    <row r="158" spans="1:44" x14ac:dyDescent="0.25">
      <c r="B158" s="38" t="s">
        <v>484</v>
      </c>
      <c r="C158" s="153">
        <f>$C$93*C152-C98</f>
        <v>2147930.9999999995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2450</v>
      </c>
      <c r="D160" s="57" t="s">
        <v>340</v>
      </c>
      <c r="F160" s="35"/>
    </row>
    <row r="161" spans="2:44" x14ac:dyDescent="0.25">
      <c r="B161" s="43" t="s">
        <v>487</v>
      </c>
      <c r="C161" s="461" t="str">
        <f>CONCATENATE( "tussen ", INDEX(D112:X112, MATCH(0,D146:X146, -1)), " en ",  1 + INDEX(D112:X112, MATCH(0,D146:X146, -1)), " jaar")</f>
        <v>tussen 14 en 15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8" priority="3" operator="containsText" text="Pas op">
      <formula>NOT(ISERROR(SEARCH("Pas op",G1)))</formula>
    </cfRule>
  </conditionalFormatting>
  <conditionalFormatting sqref="G105">
    <cfRule type="containsText" dxfId="7" priority="1" operator="containsText" text="Pas op">
      <formula>NOT(ISERROR(SEARCH("Pas op",G105)))</formula>
    </cfRule>
  </conditionalFormatting>
  <conditionalFormatting sqref="G184:G1048576">
    <cfRule type="containsText" dxfId="6" priority="2" operator="containsText" text="Pas op">
      <formula>NOT(ISERROR(SEARCH("Pas op",G184)))</formula>
    </cfRule>
  </conditionalFormatting>
  <dataValidations count="3">
    <dataValidation type="list" allowBlank="1" showInputMessage="1" showErrorMessage="1" sqref="C14" xr:uid="{03AB143E-8AEC-4B60-B0FA-0B6B04174A68}">
      <formula1>"Nee,Ja,Geen warmte"</formula1>
    </dataValidation>
    <dataValidation type="list" allowBlank="1" showInputMessage="1" showErrorMessage="1" sqref="C7" xr:uid="{6FFCF412-5F50-449A-AE55-708A8327ADA8}">
      <formula1>"t CO2,kWh"</formula1>
    </dataValidation>
    <dataValidation type="list" allowBlank="1" showInputMessage="1" showErrorMessage="1" sqref="C37361 C102897 C168433 C233969 C299505 C365041 C430577 C496113 C561649 C627185 C692721 C758257 C823793 C889329 C954865" xr:uid="{02BB6663-B293-445F-B9EC-1FCF77540468}">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9C0B7FF-E38A-43ED-BA55-A4F997C0D22F}">
          <x14:formula1>
            <xm:f>Correcties!$A$8:$A$8</xm:f>
          </x14:formula1>
          <xm:sqref>C15</xm:sqref>
        </x14:dataValidation>
        <x14:dataValidation type="list" allowBlank="1" showInputMessage="1" showErrorMessage="1" xr:uid="{20A2D838-46AE-4DB9-BB55-E71DD9BA8CB0}">
          <x14:formula1>
            <xm:f>Correcties!$A$27:$A$38</xm:f>
          </x14:formula1>
          <xm:sqref>C13</xm:sqref>
        </x14:dataValidation>
        <x14:dataValidation type="list" allowBlank="1" showInputMessage="1" showErrorMessage="1" xr:uid="{D515C9E9-F00B-48C7-B309-305F57FAAF11}">
          <x14:formula1>
            <xm:f>Colofon!$B$34:$B$39</xm:f>
          </x14:formula1>
          <xm:sqref>C9</xm:sqref>
        </x14:dataValidation>
        <x14:dataValidation type="list" allowBlank="1" showInputMessage="1" showErrorMessage="1" xr:uid="{62790C10-EF04-47A5-9946-72B04351674E}">
          <x14:formula1>
            <xm:f>Correcties!$A$10:$A$10</xm:f>
          </x14:formula1>
          <xm:sqref>C16</xm:sqref>
        </x14:dataValidation>
        <x14:dataValidation type="list" allowBlank="1" showInputMessage="1" showErrorMessage="1" xr:uid="{420F89B8-753A-482E-8DB6-489C9D81B9AF}">
          <x14:formula1>
            <xm:f>Correcties!$A$4:$A$10</xm:f>
          </x14:formula1>
          <xm:sqref>C12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ED2C7-5CFC-4F11-90AA-F577FFBB4584}">
  <sheetPr codeName="Sheet109">
    <tabColor theme="5" tint="0.39997558519241921"/>
    <pageSetUpPr fitToPage="1"/>
  </sheetPr>
  <dimension ref="A1:AR198"/>
  <sheetViews>
    <sheetView showGridLines="0" topLeftCell="A125"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524</v>
      </c>
      <c r="C2" s="32"/>
      <c r="D2" s="32"/>
      <c r="G2" s="33"/>
    </row>
    <row r="4" spans="1:44" x14ac:dyDescent="0.25">
      <c r="A4" s="16" t="s">
        <v>428</v>
      </c>
      <c r="B4" s="102" t="s">
        <v>299</v>
      </c>
      <c r="C4" s="103" t="s">
        <v>79</v>
      </c>
      <c r="D4" s="103" t="s">
        <v>136</v>
      </c>
      <c r="E4" s="445" t="s">
        <v>63</v>
      </c>
      <c r="F4" s="445"/>
      <c r="G4" s="445"/>
      <c r="H4" s="445"/>
      <c r="I4" s="445"/>
      <c r="J4" s="445"/>
      <c r="K4" s="445"/>
      <c r="L4" s="445"/>
      <c r="M4" s="446"/>
    </row>
    <row r="5" spans="1:44" ht="13" x14ac:dyDescent="0.3">
      <c r="A5" s="16" t="s">
        <v>430</v>
      </c>
      <c r="B5" s="96" t="s">
        <v>37</v>
      </c>
      <c r="C5" s="313">
        <f>ROUND((C158-C150)/C151,4)</f>
        <v>8.3500000000000005E-2</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320.2195791399817</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tr">
        <f>IF(C7="kWh","kW",IF(C7="t CO2","t CO2/uur","foutmelding"))</f>
        <v>kW</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95</v>
      </c>
      <c r="D12" s="105" t="str">
        <f>_xlfn.XLOOKUP(C12,Correcties!A4:A11,Correcties!B4:B11,"")</f>
        <v>Elektriciteit-WOL (negatieve uren niet meegenomen)</v>
      </c>
      <c r="E12" s="449" t="str">
        <f>IFERROR(INDEX(Correcties!$A$1:$I$301,MATCH('20'!C12,Correcties!$A$1:$A$301,0),5),"")</f>
        <v>EPEX2 x PIF_WOL2</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4500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IF(C23="JA",IF(C24&lt;&gt;"",C21*C183/C180/C24,0),0)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IF(C23="JA",IF(C26=0,,C26*C183/C181),0)</f>
        <v>0</v>
      </c>
      <c r="D27" s="99" t="s">
        <v>333</v>
      </c>
      <c r="E27" s="447"/>
      <c r="F27" s="447"/>
      <c r="G27" s="447"/>
      <c r="H27" s="447"/>
      <c r="I27" s="447"/>
      <c r="J27" s="447"/>
      <c r="K27" s="447"/>
      <c r="L27" s="447"/>
      <c r="M27" s="448"/>
    </row>
    <row r="28" spans="2:13" x14ac:dyDescent="0.25">
      <c r="B28" s="96" t="s">
        <v>337</v>
      </c>
      <c r="C28" s="167">
        <v>4500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2280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c r="D39" s="99" t="str">
        <f>CONCATENATE("Euro/",$C$8)</f>
        <v>Euro/kW</v>
      </c>
      <c r="E39" s="447" t="s">
        <v>352</v>
      </c>
      <c r="F39" s="447"/>
      <c r="G39" s="447"/>
      <c r="H39" s="447"/>
      <c r="I39" s="447"/>
      <c r="J39" s="447"/>
      <c r="K39" s="447"/>
      <c r="L39" s="447"/>
      <c r="M39" s="448"/>
    </row>
    <row r="40" spans="2:13" x14ac:dyDescent="0.25">
      <c r="B40" s="109" t="s">
        <v>353</v>
      </c>
      <c r="C40" s="160">
        <v>1580</v>
      </c>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7.1597699999999991</v>
      </c>
      <c r="D41" s="99" t="s">
        <v>355</v>
      </c>
      <c r="E41" s="453"/>
      <c r="F41" s="447"/>
      <c r="G41" s="447"/>
      <c r="H41" s="447"/>
      <c r="I41" s="447"/>
      <c r="J41" s="447"/>
      <c r="K41" s="447"/>
      <c r="L41" s="447"/>
      <c r="M41" s="448"/>
    </row>
    <row r="42" spans="2:13" x14ac:dyDescent="0.25">
      <c r="B42" s="109" t="s">
        <v>356</v>
      </c>
      <c r="C42" s="165"/>
      <c r="D42" s="99" t="str">
        <f>CONCATENATE("Euro/",$C$8,"/jaar")</f>
        <v>Euro/kW/jaar</v>
      </c>
      <c r="E42" s="447" t="s">
        <v>357</v>
      </c>
      <c r="F42" s="447"/>
      <c r="G42" s="447"/>
      <c r="H42" s="447"/>
      <c r="I42" s="447"/>
      <c r="J42" s="447"/>
      <c r="K42" s="447"/>
      <c r="L42" s="447"/>
      <c r="M42" s="448"/>
    </row>
    <row r="43" spans="2:13" x14ac:dyDescent="0.25">
      <c r="B43" s="109" t="s">
        <v>358</v>
      </c>
      <c r="C43" s="165">
        <v>14.9</v>
      </c>
      <c r="D43" s="99" t="str">
        <f>CONCATENATE("Euro/",$C$8,"/jaar")</f>
        <v>Euro/kW/jaar</v>
      </c>
      <c r="E43" s="447" t="s">
        <v>357</v>
      </c>
      <c r="F43" s="447"/>
      <c r="G43" s="447"/>
      <c r="H43" s="447"/>
      <c r="I43" s="447"/>
      <c r="J43" s="447"/>
      <c r="K43" s="447"/>
      <c r="L43" s="447"/>
      <c r="M43" s="448"/>
    </row>
    <row r="44" spans="2:13" x14ac:dyDescent="0.25">
      <c r="B44" s="96" t="s">
        <v>359</v>
      </c>
      <c r="C44" s="348">
        <f>(C42*C21+C43*SUM(C26,C28))/1000</f>
        <v>67.05</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1.26E-2</v>
      </c>
      <c r="D48" s="99" t="str">
        <f>CONCATENATE("Euro/",$C$7)</f>
        <v>Euro/kWh</v>
      </c>
      <c r="E48" s="447"/>
      <c r="F48" s="447"/>
      <c r="G48" s="447"/>
      <c r="H48" s="447"/>
      <c r="I48" s="447"/>
      <c r="J48" s="447"/>
      <c r="K48" s="447"/>
      <c r="L48" s="447"/>
      <c r="M48" s="448"/>
    </row>
    <row r="49" spans="2:13" x14ac:dyDescent="0.25">
      <c r="B49" s="97" t="s">
        <v>366</v>
      </c>
      <c r="C49" s="142">
        <f>SUM(C45:C48)</f>
        <v>1.26E-2</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IF(C52=0,,C21*MAX(C29,C30)*C183/C52/1000)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8.2000000000000003E-2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0.10929999999999999</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4.3700000000000003E-2</v>
      </c>
      <c r="D80" s="99" t="s">
        <v>406</v>
      </c>
      <c r="E80" s="447" t="s">
        <v>407</v>
      </c>
      <c r="F80" s="447"/>
      <c r="G80" s="447"/>
      <c r="H80" s="447"/>
      <c r="I80" s="447"/>
      <c r="J80" s="447"/>
      <c r="K80" s="447"/>
      <c r="L80" s="447"/>
      <c r="M80" s="448"/>
    </row>
    <row r="81" spans="2:13" x14ac:dyDescent="0.25">
      <c r="B81" s="96" t="s">
        <v>408</v>
      </c>
      <c r="C81" s="171">
        <f>C30</f>
        <v>2280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153900000</v>
      </c>
      <c r="D84" s="98" t="str">
        <f>C7</f>
        <v>kWh</v>
      </c>
      <c r="E84" s="447"/>
      <c r="F84" s="447"/>
      <c r="G84" s="447"/>
      <c r="H84" s="447"/>
      <c r="I84" s="447"/>
      <c r="J84" s="447"/>
      <c r="K84" s="447"/>
      <c r="L84" s="447"/>
      <c r="M84" s="448"/>
    </row>
    <row r="85" spans="2:13" x14ac:dyDescent="0.25">
      <c r="B85" s="113" t="s">
        <v>413</v>
      </c>
      <c r="C85" s="145">
        <f>IF(C77=0,SUM(E118:INDEX(E118:AR118,1,C73)),SUM(E118:INDEX(E118:AR118,1,C77)))</f>
        <v>205200000</v>
      </c>
      <c r="D85" s="98" t="str">
        <f>C7</f>
        <v>kWh</v>
      </c>
      <c r="E85" s="447"/>
      <c r="F85" s="447"/>
      <c r="G85" s="447"/>
      <c r="H85" s="447"/>
      <c r="I85" s="447"/>
      <c r="J85" s="447"/>
      <c r="K85" s="447"/>
      <c r="L85" s="447"/>
      <c r="M85" s="448"/>
    </row>
    <row r="86" spans="2:13" x14ac:dyDescent="0.25">
      <c r="B86" s="114" t="s">
        <v>414</v>
      </c>
      <c r="C86" s="146">
        <f>C85/C84</f>
        <v>1.3333333333333333</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0.04</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-7159769.9999999991</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10260000</v>
      </c>
      <c r="F115" s="379">
        <f t="shared" si="4"/>
        <v>10260000</v>
      </c>
      <c r="G115" s="379">
        <f t="shared" si="4"/>
        <v>10260000</v>
      </c>
      <c r="H115" s="379">
        <f t="shared" si="4"/>
        <v>10260000</v>
      </c>
      <c r="I115" s="379">
        <f t="shared" si="4"/>
        <v>10260000</v>
      </c>
      <c r="J115" s="379">
        <f t="shared" si="4"/>
        <v>10260000</v>
      </c>
      <c r="K115" s="379">
        <f t="shared" si="4"/>
        <v>10260000</v>
      </c>
      <c r="L115" s="379">
        <f t="shared" si="4"/>
        <v>10260000</v>
      </c>
      <c r="M115" s="379">
        <f t="shared" si="4"/>
        <v>10260000</v>
      </c>
      <c r="N115" s="379">
        <f t="shared" si="4"/>
        <v>10260000</v>
      </c>
      <c r="O115" s="379">
        <f t="shared" si="4"/>
        <v>10260000</v>
      </c>
      <c r="P115" s="379">
        <f t="shared" si="4"/>
        <v>10260000</v>
      </c>
      <c r="Q115" s="379">
        <f t="shared" si="4"/>
        <v>10260000</v>
      </c>
      <c r="R115" s="379">
        <f t="shared" si="4"/>
        <v>10260000</v>
      </c>
      <c r="S115" s="379">
        <f t="shared" si="4"/>
        <v>10260000</v>
      </c>
      <c r="T115" s="379">
        <f t="shared" si="4"/>
        <v>10260000</v>
      </c>
      <c r="U115" s="379">
        <f t="shared" si="4"/>
        <v>10260000</v>
      </c>
      <c r="V115" s="379">
        <f t="shared" si="4"/>
        <v>10260000</v>
      </c>
      <c r="W115" s="379">
        <f t="shared" si="4"/>
        <v>10260000</v>
      </c>
      <c r="X115" s="379">
        <f t="shared" si="4"/>
        <v>10260000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10260000</v>
      </c>
      <c r="F118" s="150">
        <f t="shared" ref="F118:AR118" si="7">SUM(F115:F117)</f>
        <v>10260000</v>
      </c>
      <c r="G118" s="150">
        <f t="shared" si="7"/>
        <v>10260000</v>
      </c>
      <c r="H118" s="150">
        <f t="shared" si="7"/>
        <v>10260000</v>
      </c>
      <c r="I118" s="150">
        <f t="shared" si="7"/>
        <v>10260000</v>
      </c>
      <c r="J118" s="150">
        <f t="shared" si="7"/>
        <v>10260000</v>
      </c>
      <c r="K118" s="150">
        <f t="shared" si="7"/>
        <v>10260000</v>
      </c>
      <c r="L118" s="150">
        <f t="shared" si="7"/>
        <v>10260000</v>
      </c>
      <c r="M118" s="150">
        <f t="shared" si="7"/>
        <v>10260000</v>
      </c>
      <c r="N118" s="150">
        <f t="shared" si="7"/>
        <v>10260000</v>
      </c>
      <c r="O118" s="150">
        <f t="shared" si="7"/>
        <v>10260000</v>
      </c>
      <c r="P118" s="150">
        <f t="shared" si="7"/>
        <v>10260000</v>
      </c>
      <c r="Q118" s="150">
        <f t="shared" si="7"/>
        <v>10260000</v>
      </c>
      <c r="R118" s="150">
        <f t="shared" si="7"/>
        <v>10260000</v>
      </c>
      <c r="S118" s="150">
        <f t="shared" si="7"/>
        <v>10260000</v>
      </c>
      <c r="T118" s="150">
        <f t="shared" si="7"/>
        <v>10260000</v>
      </c>
      <c r="U118" s="150">
        <f t="shared" si="7"/>
        <v>10260000</v>
      </c>
      <c r="V118" s="150">
        <f t="shared" si="7"/>
        <v>10260000</v>
      </c>
      <c r="W118" s="150">
        <f t="shared" si="7"/>
        <v>10260000</v>
      </c>
      <c r="X118" s="150">
        <f t="shared" si="7"/>
        <v>10260000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-196326</v>
      </c>
      <c r="F120" s="379">
        <f t="shared" ref="F120:AR120" si="8">IF(F112&gt;$C$73,0,-F109*(($C$42*$C$21+$C$43*SUM($C$26,$C$28))+F118*$C$49))+IF($C$101=F112,$D$101*F109,0)+IF($C$102=F112,$D$102*F109,0)+IF($C$103=F112,$D$103*F109,0)</f>
        <v>-200252.52</v>
      </c>
      <c r="G120" s="379">
        <f t="shared" si="8"/>
        <v>-204257.5704</v>
      </c>
      <c r="H120" s="379">
        <f t="shared" si="8"/>
        <v>-208342.72180799997</v>
      </c>
      <c r="I120" s="379">
        <f t="shared" si="8"/>
        <v>-212509.57624416001</v>
      </c>
      <c r="J120" s="379">
        <f t="shared" si="8"/>
        <v>-216759.76776904322</v>
      </c>
      <c r="K120" s="379">
        <f t="shared" si="8"/>
        <v>-221094.96312442407</v>
      </c>
      <c r="L120" s="379">
        <f t="shared" si="8"/>
        <v>-225516.86238691251</v>
      </c>
      <c r="M120" s="379">
        <f t="shared" si="8"/>
        <v>-230027.19963465078</v>
      </c>
      <c r="N120" s="379">
        <f t="shared" si="8"/>
        <v>-234627.74362734379</v>
      </c>
      <c r="O120" s="379">
        <f t="shared" si="8"/>
        <v>-239320.29849989069</v>
      </c>
      <c r="P120" s="379">
        <f t="shared" si="8"/>
        <v>-244106.70446988844</v>
      </c>
      <c r="Q120" s="379">
        <f t="shared" si="8"/>
        <v>-248988.83855928626</v>
      </c>
      <c r="R120" s="379">
        <f t="shared" si="8"/>
        <v>-253968.61533047198</v>
      </c>
      <c r="S120" s="379">
        <f t="shared" si="8"/>
        <v>-259047.98763708145</v>
      </c>
      <c r="T120" s="379">
        <f t="shared" si="8"/>
        <v>-264228.94738982298</v>
      </c>
      <c r="U120" s="379">
        <f t="shared" si="8"/>
        <v>-269513.52633761952</v>
      </c>
      <c r="V120" s="379">
        <f t="shared" si="8"/>
        <v>-274903.79686437192</v>
      </c>
      <c r="W120" s="379">
        <f t="shared" si="8"/>
        <v>-280401.87280165934</v>
      </c>
      <c r="X120" s="379">
        <f t="shared" si="8"/>
        <v>-286009.91025769251</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5.8814446384764449E-2</v>
      </c>
      <c r="U122" s="382">
        <f t="shared" si="10"/>
        <v>5.9990735312459749E-2</v>
      </c>
      <c r="V122" s="382">
        <f t="shared" si="10"/>
        <v>6.1190550018708947E-2</v>
      </c>
      <c r="W122" s="382">
        <f t="shared" si="10"/>
        <v>6.2414361019083119E-2</v>
      </c>
      <c r="X122" s="382">
        <f t="shared" si="10"/>
        <v>6.3662648239464784E-2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603436.2199076832</v>
      </c>
      <c r="U127" s="379">
        <f t="shared" si="15"/>
        <v>615504.94430583704</v>
      </c>
      <c r="V127" s="379">
        <f t="shared" si="15"/>
        <v>627815.0431919538</v>
      </c>
      <c r="W127" s="379">
        <f t="shared" si="15"/>
        <v>640371.34405579278</v>
      </c>
      <c r="X127" s="379">
        <f t="shared" si="15"/>
        <v>653178.77093690867</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603436.2199076832</v>
      </c>
      <c r="U130" s="379">
        <f t="shared" si="17"/>
        <v>615504.94430583704</v>
      </c>
      <c r="V130" s="379">
        <f t="shared" si="17"/>
        <v>627815.0431919538</v>
      </c>
      <c r="W130" s="379">
        <f t="shared" si="17"/>
        <v>640371.34405579278</v>
      </c>
      <c r="X130" s="379">
        <f t="shared" si="17"/>
        <v>653178.77093690867</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-196326</v>
      </c>
      <c r="F131" s="379">
        <f t="shared" si="18"/>
        <v>-200252.52</v>
      </c>
      <c r="G131" s="379">
        <f t="shared" si="18"/>
        <v>-204257.5704</v>
      </c>
      <c r="H131" s="379">
        <f t="shared" si="18"/>
        <v>-208342.72180799997</v>
      </c>
      <c r="I131" s="379">
        <f t="shared" si="18"/>
        <v>-212509.57624416001</v>
      </c>
      <c r="J131" s="379">
        <f t="shared" si="18"/>
        <v>-216759.76776904322</v>
      </c>
      <c r="K131" s="379">
        <f t="shared" si="18"/>
        <v>-221094.96312442407</v>
      </c>
      <c r="L131" s="379">
        <f t="shared" si="18"/>
        <v>-225516.86238691251</v>
      </c>
      <c r="M131" s="379">
        <f t="shared" si="18"/>
        <v>-230027.19963465078</v>
      </c>
      <c r="N131" s="379">
        <f t="shared" si="18"/>
        <v>-234627.74362734379</v>
      </c>
      <c r="O131" s="379">
        <f t="shared" si="18"/>
        <v>-239320.29849989069</v>
      </c>
      <c r="P131" s="379">
        <f t="shared" si="18"/>
        <v>-244106.70446988844</v>
      </c>
      <c r="Q131" s="379">
        <f t="shared" si="18"/>
        <v>-248988.83855928626</v>
      </c>
      <c r="R131" s="379">
        <f t="shared" si="18"/>
        <v>-253968.61533047198</v>
      </c>
      <c r="S131" s="379">
        <f t="shared" si="18"/>
        <v>-259047.98763708145</v>
      </c>
      <c r="T131" s="379">
        <f t="shared" si="18"/>
        <v>-264228.94738982298</v>
      </c>
      <c r="U131" s="379">
        <f t="shared" si="18"/>
        <v>-269513.52633761952</v>
      </c>
      <c r="V131" s="379">
        <f t="shared" si="18"/>
        <v>-274903.79686437192</v>
      </c>
      <c r="W131" s="379">
        <f t="shared" si="18"/>
        <v>-280401.87280165934</v>
      </c>
      <c r="X131" s="379">
        <f t="shared" si="18"/>
        <v>-286009.91025769251</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-196326</v>
      </c>
      <c r="F132" s="386">
        <f t="shared" ref="F132:AR132" si="19">SUM(F130:F131)</f>
        <v>-200252.52</v>
      </c>
      <c r="G132" s="386">
        <f t="shared" si="19"/>
        <v>-204257.5704</v>
      </c>
      <c r="H132" s="386">
        <f t="shared" si="19"/>
        <v>-208342.72180799997</v>
      </c>
      <c r="I132" s="386">
        <f t="shared" si="19"/>
        <v>-212509.57624416001</v>
      </c>
      <c r="J132" s="386">
        <f t="shared" si="19"/>
        <v>-216759.76776904322</v>
      </c>
      <c r="K132" s="386">
        <f t="shared" si="19"/>
        <v>-221094.96312442407</v>
      </c>
      <c r="L132" s="386">
        <f t="shared" si="19"/>
        <v>-225516.86238691251</v>
      </c>
      <c r="M132" s="386">
        <f t="shared" si="19"/>
        <v>-230027.19963465078</v>
      </c>
      <c r="N132" s="386">
        <f t="shared" si="19"/>
        <v>-234627.74362734379</v>
      </c>
      <c r="O132" s="386">
        <f t="shared" si="19"/>
        <v>-239320.29849989069</v>
      </c>
      <c r="P132" s="386">
        <f t="shared" si="19"/>
        <v>-244106.70446988844</v>
      </c>
      <c r="Q132" s="386">
        <f t="shared" si="19"/>
        <v>-248988.83855928626</v>
      </c>
      <c r="R132" s="386">
        <f t="shared" si="19"/>
        <v>-253968.61533047198</v>
      </c>
      <c r="S132" s="386">
        <f t="shared" si="19"/>
        <v>-259047.98763708145</v>
      </c>
      <c r="T132" s="386">
        <f t="shared" si="19"/>
        <v>339207.27251786023</v>
      </c>
      <c r="U132" s="386">
        <f t="shared" si="19"/>
        <v>345991.41796821752</v>
      </c>
      <c r="V132" s="386">
        <f t="shared" si="19"/>
        <v>352911.24632758187</v>
      </c>
      <c r="W132" s="386">
        <f t="shared" si="19"/>
        <v>359969.47125413344</v>
      </c>
      <c r="X132" s="386">
        <f t="shared" si="19"/>
        <v>367168.86067921616</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-477317.99999999994</v>
      </c>
      <c r="F134" s="379">
        <f t="shared" si="20"/>
        <v>-477317.99999999994</v>
      </c>
      <c r="G134" s="379">
        <f t="shared" si="20"/>
        <v>-477317.99999999994</v>
      </c>
      <c r="H134" s="379">
        <f t="shared" si="20"/>
        <v>-477317.99999999994</v>
      </c>
      <c r="I134" s="379">
        <f t="shared" si="20"/>
        <v>-477317.99999999994</v>
      </c>
      <c r="J134" s="379">
        <f t="shared" si="20"/>
        <v>-477317.99999999994</v>
      </c>
      <c r="K134" s="379">
        <f t="shared" si="20"/>
        <v>-477317.99999999994</v>
      </c>
      <c r="L134" s="379">
        <f t="shared" si="20"/>
        <v>-477317.99999999994</v>
      </c>
      <c r="M134" s="379">
        <f t="shared" si="20"/>
        <v>-477317.99999999994</v>
      </c>
      <c r="N134" s="379">
        <f t="shared" si="20"/>
        <v>-477317.99999999994</v>
      </c>
      <c r="O134" s="379">
        <f t="shared" si="20"/>
        <v>-477317.99999999994</v>
      </c>
      <c r="P134" s="379">
        <f t="shared" si="20"/>
        <v>-477317.99999999994</v>
      </c>
      <c r="Q134" s="379">
        <f t="shared" si="20"/>
        <v>-477317.99999999994</v>
      </c>
      <c r="R134" s="379">
        <f t="shared" si="20"/>
        <v>-477317.99999999994</v>
      </c>
      <c r="S134" s="379">
        <f t="shared" si="20"/>
        <v>-477317.99999999994</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-200473.55999999997</v>
      </c>
      <c r="F135" s="379">
        <f t="shared" si="21"/>
        <v>-190461.68981831361</v>
      </c>
      <c r="G135" s="379">
        <f t="shared" si="21"/>
        <v>-180049.34482935988</v>
      </c>
      <c r="H135" s="379">
        <f t="shared" si="21"/>
        <v>-169220.50604084795</v>
      </c>
      <c r="I135" s="379">
        <f t="shared" si="21"/>
        <v>-157958.51370079556</v>
      </c>
      <c r="J135" s="379">
        <f t="shared" si="21"/>
        <v>-146246.04166714105</v>
      </c>
      <c r="K135" s="379">
        <f t="shared" si="21"/>
        <v>-134065.07075214037</v>
      </c>
      <c r="L135" s="379">
        <f t="shared" si="21"/>
        <v>-121396.86100053968</v>
      </c>
      <c r="M135" s="379">
        <f t="shared" si="21"/>
        <v>-108221.92285887497</v>
      </c>
      <c r="N135" s="379">
        <f t="shared" si="21"/>
        <v>-94519.987191543638</v>
      </c>
      <c r="O135" s="379">
        <f t="shared" si="21"/>
        <v>-80269.97409751908</v>
      </c>
      <c r="P135" s="379">
        <f t="shared" si="21"/>
        <v>-65449.960479733534</v>
      </c>
      <c r="Q135" s="379">
        <f t="shared" si="21"/>
        <v>-50037.146317236562</v>
      </c>
      <c r="R135" s="379">
        <f t="shared" si="21"/>
        <v>-34007.819588239712</v>
      </c>
      <c r="S135" s="379">
        <f t="shared" si="21"/>
        <v>-17337.319790082995</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-250296.75454215793</v>
      </c>
      <c r="F136" s="379">
        <f t="shared" si="22"/>
        <v>-260308.6247238442</v>
      </c>
      <c r="G136" s="379">
        <f t="shared" si="22"/>
        <v>-270720.9697127979</v>
      </c>
      <c r="H136" s="379">
        <f t="shared" si="22"/>
        <v>-281549.80850130989</v>
      </c>
      <c r="I136" s="379">
        <f t="shared" si="22"/>
        <v>-292811.80084136227</v>
      </c>
      <c r="J136" s="379">
        <f t="shared" si="22"/>
        <v>-304524.27287501673</v>
      </c>
      <c r="K136" s="379">
        <f t="shared" si="22"/>
        <v>-316705.24379001738</v>
      </c>
      <c r="L136" s="379">
        <f t="shared" si="22"/>
        <v>-329373.45354161813</v>
      </c>
      <c r="M136" s="379">
        <f t="shared" si="22"/>
        <v>-342548.39168328285</v>
      </c>
      <c r="N136" s="379">
        <f t="shared" si="22"/>
        <v>-356250.32735061413</v>
      </c>
      <c r="O136" s="379">
        <f t="shared" si="22"/>
        <v>-370500.34044463874</v>
      </c>
      <c r="P136" s="379">
        <f t="shared" si="22"/>
        <v>-385320.35406242422</v>
      </c>
      <c r="Q136" s="379">
        <f t="shared" si="22"/>
        <v>-400733.16822492122</v>
      </c>
      <c r="R136" s="379">
        <f t="shared" si="22"/>
        <v>-416762.4949539181</v>
      </c>
      <c r="S136" s="379">
        <f t="shared" si="22"/>
        <v>-433432.99475207488</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-450770.31454215792</v>
      </c>
      <c r="F137" s="386">
        <f t="shared" ref="F137:AR137" si="23">SUM(F135,F136)</f>
        <v>-450770.31454215781</v>
      </c>
      <c r="G137" s="386">
        <f t="shared" si="23"/>
        <v>-450770.31454215781</v>
      </c>
      <c r="H137" s="386">
        <f t="shared" si="23"/>
        <v>-450770.31454215781</v>
      </c>
      <c r="I137" s="386">
        <f t="shared" si="23"/>
        <v>-450770.31454215781</v>
      </c>
      <c r="J137" s="386">
        <f t="shared" si="23"/>
        <v>-450770.31454215781</v>
      </c>
      <c r="K137" s="386">
        <f t="shared" si="23"/>
        <v>-450770.31454215775</v>
      </c>
      <c r="L137" s="386">
        <f t="shared" si="23"/>
        <v>-450770.31454215781</v>
      </c>
      <c r="M137" s="386">
        <f t="shared" si="23"/>
        <v>-450770.31454215781</v>
      </c>
      <c r="N137" s="386">
        <f t="shared" si="23"/>
        <v>-450770.31454215775</v>
      </c>
      <c r="O137" s="386">
        <f t="shared" si="23"/>
        <v>-450770.31454215781</v>
      </c>
      <c r="P137" s="386">
        <f t="shared" si="23"/>
        <v>-450770.31454215775</v>
      </c>
      <c r="Q137" s="386">
        <f t="shared" si="23"/>
        <v>-450770.31454215781</v>
      </c>
      <c r="R137" s="386">
        <f t="shared" si="23"/>
        <v>-450770.31454215781</v>
      </c>
      <c r="S137" s="386">
        <f t="shared" si="23"/>
        <v>-450770.31454215787</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-874117.55999999994</v>
      </c>
      <c r="F139" s="379">
        <f t="shared" ref="F139:AR139" si="24">F132+F134+F135</f>
        <v>-868032.20981831348</v>
      </c>
      <c r="G139" s="379">
        <f t="shared" si="24"/>
        <v>-861624.91522935987</v>
      </c>
      <c r="H139" s="379">
        <f t="shared" si="24"/>
        <v>-854881.22784884786</v>
      </c>
      <c r="I139" s="379">
        <f t="shared" si="24"/>
        <v>-847786.08994495554</v>
      </c>
      <c r="J139" s="379">
        <f t="shared" si="24"/>
        <v>-840323.80943618412</v>
      </c>
      <c r="K139" s="379">
        <f t="shared" si="24"/>
        <v>-832478.03387656435</v>
      </c>
      <c r="L139" s="379">
        <f t="shared" si="24"/>
        <v>-824231.72338745208</v>
      </c>
      <c r="M139" s="379">
        <f t="shared" si="24"/>
        <v>-815567.12249352573</v>
      </c>
      <c r="N139" s="379">
        <f t="shared" si="24"/>
        <v>-806465.73081888747</v>
      </c>
      <c r="O139" s="379">
        <f t="shared" si="24"/>
        <v>-796908.27259740967</v>
      </c>
      <c r="P139" s="379">
        <f t="shared" si="24"/>
        <v>-786874.66494962189</v>
      </c>
      <c r="Q139" s="379">
        <f t="shared" si="24"/>
        <v>-776343.98487652279</v>
      </c>
      <c r="R139" s="379">
        <f t="shared" si="24"/>
        <v>-765294.43491871166</v>
      </c>
      <c r="S139" s="379">
        <f t="shared" si="24"/>
        <v>-753703.3074271644</v>
      </c>
      <c r="T139" s="379">
        <f t="shared" si="24"/>
        <v>339207.27251786023</v>
      </c>
      <c r="U139" s="379">
        <f t="shared" si="24"/>
        <v>345991.41796821752</v>
      </c>
      <c r="V139" s="379">
        <f t="shared" si="24"/>
        <v>352911.24632758187</v>
      </c>
      <c r="W139" s="379">
        <f t="shared" si="24"/>
        <v>359969.47125413344</v>
      </c>
      <c r="X139" s="379">
        <f t="shared" si="24"/>
        <v>367168.86067921616</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166082.3364</v>
      </c>
      <c r="F140" s="379">
        <f t="shared" si="25"/>
        <v>164926.11986547956</v>
      </c>
      <c r="G140" s="379">
        <f t="shared" si="25"/>
        <v>163708.73389357838</v>
      </c>
      <c r="H140" s="379">
        <f t="shared" si="25"/>
        <v>162427.43329128111</v>
      </c>
      <c r="I140" s="379">
        <f t="shared" si="25"/>
        <v>161079.35708954156</v>
      </c>
      <c r="J140" s="379">
        <f t="shared" si="25"/>
        <v>159661.523792875</v>
      </c>
      <c r="K140" s="379">
        <f t="shared" si="25"/>
        <v>158170.82643654724</v>
      </c>
      <c r="L140" s="379">
        <f t="shared" si="25"/>
        <v>156604.02744361589</v>
      </c>
      <c r="M140" s="379">
        <f t="shared" si="25"/>
        <v>154957.75327376989</v>
      </c>
      <c r="N140" s="379">
        <f t="shared" si="25"/>
        <v>153228.48885558863</v>
      </c>
      <c r="O140" s="379">
        <f t="shared" si="25"/>
        <v>151412.57179350784</v>
      </c>
      <c r="P140" s="379">
        <f t="shared" si="25"/>
        <v>149506.18634042816</v>
      </c>
      <c r="Q140" s="379">
        <f t="shared" si="25"/>
        <v>147505.35712653934</v>
      </c>
      <c r="R140" s="379">
        <f t="shared" si="25"/>
        <v>145405.94263455522</v>
      </c>
      <c r="S140" s="379">
        <f t="shared" si="25"/>
        <v>143203.62841116125</v>
      </c>
      <c r="T140" s="379">
        <f t="shared" si="25"/>
        <v>-64449.381778393443</v>
      </c>
      <c r="U140" s="379">
        <f t="shared" si="25"/>
        <v>-65738.369413961322</v>
      </c>
      <c r="V140" s="379">
        <f t="shared" si="25"/>
        <v>-67053.136802240551</v>
      </c>
      <c r="W140" s="379">
        <f t="shared" si="25"/>
        <v>-68394.199538285349</v>
      </c>
      <c r="X140" s="379">
        <f t="shared" si="25"/>
        <v>-69762.083529051073</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-481013.9781421579</v>
      </c>
      <c r="F142" s="386">
        <f t="shared" si="26"/>
        <v>-486096.7146766783</v>
      </c>
      <c r="G142" s="386">
        <f t="shared" si="26"/>
        <v>-491319.15104857937</v>
      </c>
      <c r="H142" s="386">
        <f t="shared" si="26"/>
        <v>-496685.6030588767</v>
      </c>
      <c r="I142" s="386">
        <f t="shared" si="26"/>
        <v>-502200.53369677631</v>
      </c>
      <c r="J142" s="386">
        <f t="shared" si="26"/>
        <v>-507868.55851832603</v>
      </c>
      <c r="K142" s="386">
        <f t="shared" si="26"/>
        <v>-513694.45123003458</v>
      </c>
      <c r="L142" s="386">
        <f t="shared" si="26"/>
        <v>-519683.14948545449</v>
      </c>
      <c r="M142" s="386">
        <f t="shared" si="26"/>
        <v>-525839.76090303867</v>
      </c>
      <c r="N142" s="386">
        <f t="shared" si="26"/>
        <v>-532169.569313913</v>
      </c>
      <c r="O142" s="386">
        <f t="shared" si="26"/>
        <v>-538678.04124854063</v>
      </c>
      <c r="P142" s="386">
        <f t="shared" si="26"/>
        <v>-545370.83267161797</v>
      </c>
      <c r="Q142" s="386">
        <f t="shared" si="26"/>
        <v>-552253.79597490467</v>
      </c>
      <c r="R142" s="386">
        <f t="shared" si="26"/>
        <v>-559332.98723807465</v>
      </c>
      <c r="S142" s="386">
        <f t="shared" si="26"/>
        <v>-566614.67376807809</v>
      </c>
      <c r="T142" s="386">
        <f t="shared" si="26"/>
        <v>274757.89073946676</v>
      </c>
      <c r="U142" s="386">
        <f t="shared" si="26"/>
        <v>280253.04855425621</v>
      </c>
      <c r="V142" s="386">
        <f t="shared" si="26"/>
        <v>285858.10952534131</v>
      </c>
      <c r="W142" s="386">
        <f t="shared" si="26"/>
        <v>291575.27171584812</v>
      </c>
      <c r="X142" s="386">
        <f t="shared" si="26"/>
        <v>297406.77715016506</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-7159769.9999999981</v>
      </c>
      <c r="E143" s="379">
        <f>E132+E140</f>
        <v>-30243.6636</v>
      </c>
      <c r="F143" s="379">
        <f t="shared" ref="F143:AR143" si="27">F132+F140</f>
        <v>-35326.400134520431</v>
      </c>
      <c r="G143" s="379">
        <f t="shared" si="27"/>
        <v>-40548.83650642162</v>
      </c>
      <c r="H143" s="379">
        <f t="shared" si="27"/>
        <v>-45915.288516718865</v>
      </c>
      <c r="I143" s="379">
        <f t="shared" si="27"/>
        <v>-51430.219154618448</v>
      </c>
      <c r="J143" s="379">
        <f t="shared" si="27"/>
        <v>-57098.243976168218</v>
      </c>
      <c r="K143" s="379">
        <f t="shared" si="27"/>
        <v>-62924.136687876831</v>
      </c>
      <c r="L143" s="379">
        <f t="shared" si="27"/>
        <v>-68912.834943296621</v>
      </c>
      <c r="M143" s="379">
        <f t="shared" si="27"/>
        <v>-75069.446360880887</v>
      </c>
      <c r="N143" s="379">
        <f t="shared" si="27"/>
        <v>-81399.254771755164</v>
      </c>
      <c r="O143" s="379">
        <f t="shared" si="27"/>
        <v>-87907.726706382848</v>
      </c>
      <c r="P143" s="379">
        <f t="shared" si="27"/>
        <v>-94600.518129460281</v>
      </c>
      <c r="Q143" s="379">
        <f t="shared" si="27"/>
        <v>-101483.48143274692</v>
      </c>
      <c r="R143" s="379">
        <f t="shared" si="27"/>
        <v>-108562.67269591676</v>
      </c>
      <c r="S143" s="379">
        <f t="shared" si="27"/>
        <v>-115844.3592259202</v>
      </c>
      <c r="T143" s="379">
        <f t="shared" si="27"/>
        <v>274757.89073946676</v>
      </c>
      <c r="U143" s="379">
        <f t="shared" si="27"/>
        <v>280253.04855425621</v>
      </c>
      <c r="V143" s="379">
        <f t="shared" si="27"/>
        <v>285858.10952534131</v>
      </c>
      <c r="W143" s="379">
        <f t="shared" si="27"/>
        <v>291575.27171584812</v>
      </c>
      <c r="X143" s="379">
        <f t="shared" si="27"/>
        <v>297406.77715016506</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-2147930.9999999995</v>
      </c>
      <c r="E144" s="379">
        <f>E142</f>
        <v>-481013.9781421579</v>
      </c>
      <c r="F144" s="379">
        <f t="shared" ref="F144:AR144" si="28">F142</f>
        <v>-486096.7146766783</v>
      </c>
      <c r="G144" s="379">
        <f t="shared" si="28"/>
        <v>-491319.15104857937</v>
      </c>
      <c r="H144" s="379">
        <f t="shared" si="28"/>
        <v>-496685.6030588767</v>
      </c>
      <c r="I144" s="379">
        <f t="shared" si="28"/>
        <v>-502200.53369677631</v>
      </c>
      <c r="J144" s="379">
        <f t="shared" si="28"/>
        <v>-507868.55851832603</v>
      </c>
      <c r="K144" s="379">
        <f t="shared" si="28"/>
        <v>-513694.45123003458</v>
      </c>
      <c r="L144" s="379">
        <f t="shared" si="28"/>
        <v>-519683.14948545449</v>
      </c>
      <c r="M144" s="379">
        <f t="shared" si="28"/>
        <v>-525839.76090303867</v>
      </c>
      <c r="N144" s="379">
        <f t="shared" si="28"/>
        <v>-532169.569313913</v>
      </c>
      <c r="O144" s="379">
        <f t="shared" si="28"/>
        <v>-538678.04124854063</v>
      </c>
      <c r="P144" s="379">
        <f t="shared" si="28"/>
        <v>-545370.83267161797</v>
      </c>
      <c r="Q144" s="379">
        <f t="shared" si="28"/>
        <v>-552253.79597490467</v>
      </c>
      <c r="R144" s="379">
        <f t="shared" si="28"/>
        <v>-559332.98723807465</v>
      </c>
      <c r="S144" s="379">
        <f t="shared" si="28"/>
        <v>-566614.67376807809</v>
      </c>
      <c r="T144" s="379">
        <f t="shared" si="28"/>
        <v>274757.89073946676</v>
      </c>
      <c r="U144" s="379">
        <f t="shared" si="28"/>
        <v>280253.04855425621</v>
      </c>
      <c r="V144" s="379">
        <f t="shared" si="28"/>
        <v>285858.10952534131</v>
      </c>
      <c r="W144" s="379">
        <f t="shared" si="28"/>
        <v>291575.27171584812</v>
      </c>
      <c r="X144" s="379">
        <f t="shared" si="28"/>
        <v>297406.77715016506</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10260000</v>
      </c>
      <c r="F145" s="379">
        <f t="shared" si="29"/>
        <v>10260000</v>
      </c>
      <c r="G145" s="379">
        <f t="shared" si="29"/>
        <v>10260000</v>
      </c>
      <c r="H145" s="379">
        <f t="shared" si="29"/>
        <v>10260000</v>
      </c>
      <c r="I145" s="379">
        <f t="shared" si="29"/>
        <v>10260000</v>
      </c>
      <c r="J145" s="379">
        <f t="shared" si="29"/>
        <v>10260000</v>
      </c>
      <c r="K145" s="379">
        <f t="shared" si="29"/>
        <v>10260000</v>
      </c>
      <c r="L145" s="379">
        <f t="shared" si="29"/>
        <v>10260000</v>
      </c>
      <c r="M145" s="379">
        <f t="shared" si="29"/>
        <v>10260000</v>
      </c>
      <c r="N145" s="379">
        <f t="shared" si="29"/>
        <v>10260000</v>
      </c>
      <c r="O145" s="379">
        <f t="shared" si="29"/>
        <v>10260000</v>
      </c>
      <c r="P145" s="379">
        <f t="shared" si="29"/>
        <v>10260000</v>
      </c>
      <c r="Q145" s="379">
        <f t="shared" si="29"/>
        <v>10260000</v>
      </c>
      <c r="R145" s="379">
        <f t="shared" si="29"/>
        <v>10260000</v>
      </c>
      <c r="S145" s="379">
        <f t="shared" si="29"/>
        <v>10260000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7159769.9999999991</v>
      </c>
      <c r="E146" s="123">
        <f>IF(E112&lt;=$C76,D146-($C$5*E118+E132+E135),D146-(E132+E135))</f>
        <v>6699859.5599999987</v>
      </c>
      <c r="F146" s="123">
        <f t="shared" ref="F146:AR146" si="30">IF(F112&lt;=$C76,E146-($C$5*F118+F132+F135),E146-(F132+F135))</f>
        <v>6233863.7698183125</v>
      </c>
      <c r="G146" s="123">
        <f t="shared" si="30"/>
        <v>5761460.6850476721</v>
      </c>
      <c r="H146" s="123">
        <f t="shared" si="30"/>
        <v>5282313.9128965205</v>
      </c>
      <c r="I146" s="123">
        <f>IF(I112&lt;=$C76,H146-($C$5*I118+I132+I135),H146-(I132+I135))</f>
        <v>4796072.0028414764</v>
      </c>
      <c r="J146" s="123">
        <f t="shared" si="30"/>
        <v>4302367.8122776607</v>
      </c>
      <c r="K146" s="123">
        <f>IF(K112&lt;=$C76,J146-($C$5*K118+K132+K135),J146-(K132+K135))</f>
        <v>3800817.8461542251</v>
      </c>
      <c r="L146" s="123">
        <f t="shared" si="30"/>
        <v>3291021.5695416774</v>
      </c>
      <c r="M146" s="123">
        <f t="shared" si="30"/>
        <v>2772560.6920352029</v>
      </c>
      <c r="N146" s="123">
        <f t="shared" si="30"/>
        <v>2244998.4228540901</v>
      </c>
      <c r="O146" s="123">
        <f t="shared" si="30"/>
        <v>1707878.6954514999</v>
      </c>
      <c r="P146" s="123">
        <f t="shared" si="30"/>
        <v>1160725.3604011219</v>
      </c>
      <c r="Q146" s="123">
        <f t="shared" si="30"/>
        <v>603041.34527764469</v>
      </c>
      <c r="R146" s="123">
        <f t="shared" si="30"/>
        <v>34307.780196356354</v>
      </c>
      <c r="S146" s="123">
        <f t="shared" si="30"/>
        <v>-546016.91237647925</v>
      </c>
      <c r="T146" s="123">
        <f t="shared" si="30"/>
        <v>-885224.18489433941</v>
      </c>
      <c r="U146" s="123">
        <f t="shared" si="30"/>
        <v>-1231215.6028625569</v>
      </c>
      <c r="V146" s="123">
        <f t="shared" si="30"/>
        <v>-1584126.8491901387</v>
      </c>
      <c r="W146" s="123">
        <f t="shared" si="30"/>
        <v>-1944096.3204442721</v>
      </c>
      <c r="X146" s="123">
        <f t="shared" si="30"/>
        <v>-2311265.1811234881</v>
      </c>
      <c r="Y146" s="123">
        <f t="shared" si="30"/>
        <v>-2311265.1811234881</v>
      </c>
      <c r="Z146" s="123">
        <f t="shared" si="30"/>
        <v>-2311265.1811234881</v>
      </c>
      <c r="AA146" s="123">
        <f>IF(AA112&lt;=$C76,Z146-($C$5*AA118+AA132+AA135),Z146-(AA132+AA135))</f>
        <v>-2311265.1811234881</v>
      </c>
      <c r="AB146" s="123">
        <f t="shared" si="30"/>
        <v>-2311265.1811234881</v>
      </c>
      <c r="AC146" s="123">
        <f t="shared" si="30"/>
        <v>-2311265.1811234881</v>
      </c>
      <c r="AD146" s="123">
        <f t="shared" si="30"/>
        <v>-2311265.1811234881</v>
      </c>
      <c r="AE146" s="123">
        <f>IF(AE112&lt;=$C76,AD146-($C$5*AE118+AE132+AE135),AD146-(AE132+AE135))</f>
        <v>-2311265.1811234881</v>
      </c>
      <c r="AF146" s="123">
        <f t="shared" si="30"/>
        <v>-2311265.1811234881</v>
      </c>
      <c r="AG146" s="123">
        <f>IF(AG112&lt;=$C76,AF146-($C$5*AG118+AG132+AG135),AF146-(AG132+AG135))</f>
        <v>-2311265.1811234881</v>
      </c>
      <c r="AH146" s="123">
        <f t="shared" si="30"/>
        <v>-2311265.1811234881</v>
      </c>
      <c r="AI146" s="123">
        <f t="shared" si="30"/>
        <v>-2311265.1811234881</v>
      </c>
      <c r="AJ146" s="123">
        <f t="shared" si="30"/>
        <v>-2311265.1811234881</v>
      </c>
      <c r="AK146" s="123">
        <f t="shared" si="30"/>
        <v>-2311265.1811234881</v>
      </c>
      <c r="AL146" s="123">
        <f t="shared" si="30"/>
        <v>-2311265.1811234881</v>
      </c>
      <c r="AM146" s="123">
        <f t="shared" si="30"/>
        <v>-2311265.1811234881</v>
      </c>
      <c r="AN146" s="123">
        <f t="shared" si="30"/>
        <v>-2311265.1811234881</v>
      </c>
      <c r="AO146" s="123">
        <f t="shared" si="30"/>
        <v>-2311265.1811234881</v>
      </c>
      <c r="AP146" s="123">
        <f t="shared" si="30"/>
        <v>-2311265.1811234881</v>
      </c>
      <c r="AQ146" s="123">
        <f t="shared" si="30"/>
        <v>-2311265.1811234881</v>
      </c>
      <c r="AR146" s="387">
        <f t="shared" si="30"/>
        <v>-2311265.1811234881</v>
      </c>
    </row>
    <row r="147" spans="1:44" ht="13" thickBot="1" x14ac:dyDescent="0.3">
      <c r="B147" s="124" t="s">
        <v>473</v>
      </c>
      <c r="C147" s="125"/>
      <c r="D147" s="125"/>
      <c r="E147" s="126">
        <f t="shared" ref="E147:AR147" si="31">IF(E112&gt;$C$74,"",(-$C$94*(E139+$C$5*E118)+E132+$C$5*E118)/-E137)</f>
        <v>1.4723494759722666</v>
      </c>
      <c r="F147" s="126">
        <f t="shared" si="31"/>
        <v>1.4610738076983194</v>
      </c>
      <c r="G147" s="126">
        <f t="shared" si="31"/>
        <v>1.4494882258544803</v>
      </c>
      <c r="H147" s="126">
        <f t="shared" si="31"/>
        <v>1.4375831561611756</v>
      </c>
      <c r="I147" s="126">
        <f t="shared" si="31"/>
        <v>1.4253486978129124</v>
      </c>
      <c r="J147" s="126">
        <f t="shared" si="31"/>
        <v>1.4127746115461475</v>
      </c>
      <c r="K147" s="126">
        <f t="shared" si="31"/>
        <v>1.3998503072524504</v>
      </c>
      <c r="L147" s="126">
        <f t="shared" si="31"/>
        <v>1.3865648311192169</v>
      </c>
      <c r="M147" s="126">
        <f t="shared" si="31"/>
        <v>1.3729068522795114</v>
      </c>
      <c r="N147" s="126">
        <f t="shared" si="31"/>
        <v>1.3588646489518512</v>
      </c>
      <c r="O147" s="126">
        <f t="shared" si="31"/>
        <v>1.3444260940500312</v>
      </c>
      <c r="P147" s="126">
        <f t="shared" si="31"/>
        <v>1.3295786402422638</v>
      </c>
      <c r="Q147" s="126">
        <f t="shared" si="31"/>
        <v>1.3143093044381133</v>
      </c>
      <c r="R147" s="126">
        <f t="shared" si="31"/>
        <v>1.2986046516808438</v>
      </c>
      <c r="S147" s="126">
        <f t="shared" si="31"/>
        <v>1.2824507784219106</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-4374230.0701618651</v>
      </c>
      <c r="D150" s="57" t="s">
        <v>476</v>
      </c>
    </row>
    <row r="151" spans="1:44" x14ac:dyDescent="0.25">
      <c r="B151" s="26" t="s">
        <v>477</v>
      </c>
      <c r="C151" s="153">
        <f>(1-$C$94)*NPV($C$91,E145:AR145)</f>
        <v>78141819.78416197</v>
      </c>
      <c r="D151" s="58" t="str">
        <f>$C$7</f>
        <v>kWh</v>
      </c>
      <c r="F151" s="59"/>
    </row>
    <row r="152" spans="1:44" x14ac:dyDescent="0.25">
      <c r="B152" s="26" t="s">
        <v>478</v>
      </c>
      <c r="C152" s="153">
        <f>$C$41*1000000</f>
        <v>7159769.9999999991</v>
      </c>
      <c r="D152" s="57" t="s">
        <v>424</v>
      </c>
      <c r="F152" s="60"/>
    </row>
    <row r="153" spans="1:44" x14ac:dyDescent="0.25">
      <c r="B153" s="26" t="s">
        <v>479</v>
      </c>
      <c r="C153" s="154">
        <f>AVERAGE(E147:AR147)</f>
        <v>1.3830782722320996</v>
      </c>
      <c r="D153" s="57"/>
      <c r="F153" s="60"/>
    </row>
    <row r="154" spans="1:44" x14ac:dyDescent="0.25">
      <c r="B154" s="26" t="s">
        <v>480</v>
      </c>
      <c r="C154" s="155" t="str">
        <f>CONCATENATE(ROUND(((1-$C$94)*$C$90*$C$92+$C$93*$C$91)*100,1),"% / ",ROUND((((1+(1-$C$94)*$C$90*$C$92+$C$93*$C$91)/(1+$C$89))-1)*100,1),"%")</f>
        <v>4.2% / 2.2%</v>
      </c>
      <c r="D154" s="57"/>
      <c r="F154" s="59"/>
      <c r="G154" s="61"/>
    </row>
    <row r="155" spans="1:44" x14ac:dyDescent="0.25">
      <c r="B155" s="26" t="s">
        <v>481</v>
      </c>
      <c r="C155" s="156">
        <f>IFERROR(IRR(D143:AR143),"n.v.t.")</f>
        <v>-0.10398513231547524</v>
      </c>
      <c r="D155" s="57"/>
      <c r="F155" s="60"/>
      <c r="G155" s="61"/>
    </row>
    <row r="156" spans="1:44" x14ac:dyDescent="0.25">
      <c r="B156" s="26" t="s">
        <v>482</v>
      </c>
      <c r="C156" s="156" t="str">
        <f>IFERROR(IRR(D144:AR144),"n.v.t.")</f>
        <v>n.v.t.</v>
      </c>
      <c r="D156" s="57"/>
      <c r="G156" s="61"/>
    </row>
    <row r="157" spans="1:44" x14ac:dyDescent="0.25">
      <c r="B157" s="38" t="s">
        <v>483</v>
      </c>
      <c r="C157" s="153">
        <f>$C$92*C152-C97</f>
        <v>5011838.9999999991</v>
      </c>
      <c r="D157" s="57" t="s">
        <v>424</v>
      </c>
      <c r="F157" s="35"/>
    </row>
    <row r="158" spans="1:44" x14ac:dyDescent="0.25">
      <c r="B158" s="38" t="s">
        <v>484</v>
      </c>
      <c r="C158" s="153">
        <f>$C$93*C152-C98</f>
        <v>2147930.9999999995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2280</v>
      </c>
      <c r="D160" s="57" t="s">
        <v>340</v>
      </c>
      <c r="F160" s="35"/>
    </row>
    <row r="161" spans="2:44" x14ac:dyDescent="0.25">
      <c r="B161" s="43" t="s">
        <v>487</v>
      </c>
      <c r="C161" s="461" t="str">
        <f>CONCATENATE( "tussen ", INDEX(D112:X112, MATCH(0,D146:X146, -1)), " en ",  1 + INDEX(D112:X112, MATCH(0,D146:X146, -1)), " jaar")</f>
        <v>tussen 14 en 15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IF(OR($C12=25,$C12=24,$C12=23),(VLOOKUP(1,Correcties!$A$4:$H$10,8)+$C159*VLOOKUP($C12-9,Correcties!$A$4:$H$10,8))/(1+$C159),IF(C15&gt;0,C166*C17+C167*C18,VLOOKUP($C12,Correcties!$A$4:$H$10,8)))</f>
        <v>2.9663620671342653E-2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IFERROR(ROUND(INDEX(Correcties!$A$1:$I$10,MATCH(C15,Correcties!$A$1:$A$10,0),8),decimalen),"n.v.t.")</f>
        <v>n.v.t.</v>
      </c>
      <c r="D166" s="57" t="str">
        <f t="shared" si="32"/>
        <v>Euro/kWh</v>
      </c>
    </row>
    <row r="167" spans="2:44" s="10" customFormat="1" x14ac:dyDescent="0.25">
      <c r="B167" s="27" t="s">
        <v>33</v>
      </c>
      <c r="C167" s="343" t="str">
        <f>IFERROR(ROUND(INDEX(Correcties!$A$1:$I$10,MATCH(C16,Correcties!$A$1:$A$10,0),8),decimalen),"n.v.t.")</f>
        <v>n.v.t.</v>
      </c>
      <c r="D167" s="66" t="str">
        <f t="shared" si="32"/>
        <v>Euro/kWh</v>
      </c>
    </row>
    <row r="168" spans="2:44" s="10" customFormat="1" x14ac:dyDescent="0.25">
      <c r="B168" s="93" t="s">
        <v>491</v>
      </c>
      <c r="C168" s="342">
        <f>IF(OR($C12=25,$C12=24,$C12=23),(VLOOKUP(1,Correcties!$A$4:$H$10,6)+$C159*VLOOKUP($C12-9,Correcties!$A$4:$H$10,6))/(1+$C159),IF(C15&gt;0,IFERROR(_xlfn.XLOOKUP(C15,Correcties!A4:A11,Correcties!F4:F10),"n.v.t."),VLOOKUP($C12,Correcties!$A$4:$H$10,6)))</f>
        <v>4.4495431007013989E-2</v>
      </c>
      <c r="D168" s="94" t="str">
        <f t="shared" si="32"/>
        <v>Euro/kWh</v>
      </c>
    </row>
    <row r="169" spans="2:44" s="10" customFormat="1" x14ac:dyDescent="0.25">
      <c r="B169" s="26" t="str">
        <f>"Voorlopig correctiebedrag "&amp;Colofon!$C$29</f>
        <v>Voorlopig correctiebedrag 2025</v>
      </c>
      <c r="C169" s="140">
        <f>IF(OR($C12=25,$C12=24,$C12=23),ROUND((VLOOKUP(1,Correcties!$A$4:$J$74,4)+$D156*VLOOKUP($C12-9,Correcties!$A$4:$J$74,4))/(1+$D156),decimalen),IF(C16&gt;0,"netlevering: " &amp; C165 &amp; ", niet-netlevering: " &amp; C166,ROUND(VLOOKUP($C12,Correcties!$A$4:$I$10,4),decimalen)))</f>
        <v>6.5000000000000002E-2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VLOOKUP($C$12,Correcties!$A$3:$M$11,12,FALSE)</f>
        <v>4.0000000000000001E-3</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IFERROR(ROUND(INDEX(Correcties!$A$1:$K$10,MATCH(C15,Correcties!$A$1:$A$10,0),6),decimalen),"n.v.t.")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IFERROR(ROUND(INDEX(Correcties!$A$1:$K$10,MATCH(C16,Correcties!$A$1:$A$10,0),6),decimalen),"n.v.t.")</f>
        <v>n.v.t.</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"&amp;Colofon!$B$21&amp;" incl GVO"</f>
        <v>Voorlopig correctiebedrag  incl GVO</v>
      </c>
      <c r="C175" s="419">
        <f>VLOOKUP($C$12,Correcties!$A$3:$M$11,10,FALSE)</f>
        <v>6.9379731794335001E-2</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7" t="s">
        <v>503</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428" t="s">
        <v>503</v>
      </c>
      <c r="D177" s="66" t="s">
        <v>406</v>
      </c>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5" priority="3" operator="containsText" text="Pas op">
      <formula>NOT(ISERROR(SEARCH("Pas op",G1)))</formula>
    </cfRule>
  </conditionalFormatting>
  <conditionalFormatting sqref="G105">
    <cfRule type="containsText" dxfId="4" priority="1" operator="containsText" text="Pas op">
      <formula>NOT(ISERROR(SEARCH("Pas op",G105)))</formula>
    </cfRule>
  </conditionalFormatting>
  <conditionalFormatting sqref="G184:G1048576">
    <cfRule type="containsText" dxfId="3" priority="2" operator="containsText" text="Pas op">
      <formula>NOT(ISERROR(SEARCH("Pas op",G184)))</formula>
    </cfRule>
  </conditionalFormatting>
  <dataValidations count="3">
    <dataValidation type="list" allowBlank="1" showInputMessage="1" showErrorMessage="1" sqref="C14" xr:uid="{623E745E-9953-4FF3-89B8-5672065E1821}">
      <formula1>"Nee,Ja,Geen warmte"</formula1>
    </dataValidation>
    <dataValidation type="list" allowBlank="1" showInputMessage="1" showErrorMessage="1" sqref="C7" xr:uid="{FD6B9BEC-39CE-4246-B461-F2DE6C16A3F7}">
      <formula1>"t CO2,kWh"</formula1>
    </dataValidation>
    <dataValidation type="list" allowBlank="1" showInputMessage="1" showErrorMessage="1" sqref="C37361 C102897 C168433 C233969 C299505 C365041 C430577 C496113 C561649 C627185 C692721 C758257 C823793 C889329 C954865" xr:uid="{F60D98E9-76AA-44EB-A844-A044F8D6F583}">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A80C5A4D-AE0F-46A1-ABB9-9F49F296F565}">
          <x14:formula1>
            <xm:f>Correcties!$A$8:$A$8</xm:f>
          </x14:formula1>
          <xm:sqref>C15</xm:sqref>
        </x14:dataValidation>
        <x14:dataValidation type="list" allowBlank="1" showInputMessage="1" showErrorMessage="1" xr:uid="{FEE05283-0055-4A88-BA2B-6A5CBB8E0AAD}">
          <x14:formula1>
            <xm:f>Correcties!$A$27:$A$38</xm:f>
          </x14:formula1>
          <xm:sqref>C13</xm:sqref>
        </x14:dataValidation>
        <x14:dataValidation type="list" allowBlank="1" showInputMessage="1" showErrorMessage="1" xr:uid="{351E68FE-C3AC-473F-8AA7-54EB107F61C4}">
          <x14:formula1>
            <xm:f>Colofon!$B$34:$B$39</xm:f>
          </x14:formula1>
          <xm:sqref>C9</xm:sqref>
        </x14:dataValidation>
        <x14:dataValidation type="list" allowBlank="1" showInputMessage="1" showErrorMessage="1" xr:uid="{3C2A3CB5-8697-4349-9CE6-16114BAEF7E9}">
          <x14:formula1>
            <xm:f>Correcties!$A$10:$A$10</xm:f>
          </x14:formula1>
          <xm:sqref>C16</xm:sqref>
        </x14:dataValidation>
        <x14:dataValidation type="list" allowBlank="1" showInputMessage="1" showErrorMessage="1" xr:uid="{858A1523-B05C-47E0-8DE9-2D08F7BA54CC}">
          <x14:formula1>
            <xm:f>Correcties!$A$4:$A$10</xm:f>
          </x14:formula1>
          <xm:sqref>C12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9CE4-6657-4C44-89E1-934BAF798929}">
  <sheetPr codeName="Sheet110">
    <tabColor rgb="FFA5D1F2"/>
    <pageSetUpPr fitToPage="1"/>
  </sheetPr>
  <dimension ref="A1:AR198"/>
  <sheetViews>
    <sheetView showGridLines="0" topLeftCell="A119" zoomScaleNormal="100" workbookViewId="0">
      <selection activeCell="G143" sqref="G143"/>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525</v>
      </c>
      <c r="C2" s="32"/>
      <c r="D2" s="32"/>
      <c r="G2" s="33"/>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0.17510000000000001</v>
      </c>
      <c r="D5" s="98" t="str">
        <f>CONCATENATE("Euro/",$C$7)</f>
        <v>Euro/kWh</v>
      </c>
      <c r="E5" s="447" t="s">
        <v>300</v>
      </c>
      <c r="F5" s="447"/>
      <c r="G5" s="447"/>
      <c r="H5" s="447"/>
      <c r="I5" s="447"/>
      <c r="J5" s="447"/>
      <c r="K5" s="447"/>
      <c r="L5" s="447"/>
      <c r="M5" s="448"/>
    </row>
    <row r="6" spans="1:44" ht="13" x14ac:dyDescent="0.3">
      <c r="B6" s="96" t="s">
        <v>301</v>
      </c>
      <c r="C6" s="135">
        <f>(ROUND(C5,4)-(ROUND(C168,4)+ROUND(C170,4)+ROUND(C172,4)))/ROUND(C70,4)*1000</f>
        <v>2191.666666666667</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A8" s="16" t="s">
        <v>526</v>
      </c>
      <c r="B8" s="96" t="s">
        <v>307</v>
      </c>
      <c r="C8" s="136" t="s">
        <v>308</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424" t="s">
        <v>81</v>
      </c>
      <c r="D12" s="105" t="str">
        <f>_xlfn.XLOOKUP(C12,Correcties!A3:A11,Correcties!B3:B11,"")</f>
        <v>Elektriciteit (negatieve uren meegenomen)</v>
      </c>
      <c r="E12" s="449" t="str">
        <f>IFERROR(INDEX(Correcties!$A$1:$I$301,MATCH('21'!C12,Correcties!$A$1:$A$301,0),5),"")</f>
        <v>EPEX1</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160"/>
      <c r="D15" s="99" t="str">
        <f>_xlfn.XLOOKUP(C15,Correcties!A4:A11,Correcties!B4:B11,"")</f>
        <v/>
      </c>
      <c r="E15" s="447" t="str">
        <f>"Enkel relevant voor zon-pv. "&amp;_xlfn.XLOOKUP(C15,Correcties!A4:A11,Correcties!E4:E11,"")</f>
        <v xml:space="preserve">Enkel relevant voor zon-pv. </v>
      </c>
      <c r="F15" s="447"/>
      <c r="G15" s="447"/>
      <c r="H15" s="447"/>
      <c r="I15" s="447"/>
      <c r="J15" s="447"/>
      <c r="K15" s="447"/>
      <c r="L15" s="447"/>
      <c r="M15" s="448"/>
    </row>
    <row r="16" spans="1:44" x14ac:dyDescent="0.25">
      <c r="B16" s="96" t="s">
        <v>319</v>
      </c>
      <c r="C16" s="160"/>
      <c r="D16" s="99" t="str">
        <f>_xlfn.XLOOKUP(C16,Correcties!A4:A11,Correcties!B4:B11,"")</f>
        <v/>
      </c>
      <c r="E16" s="447" t="str">
        <f>"Enkel relevant voor zon-pv. "&amp;_xlfn.XLOOKUP(C16,Correcties!A4:A11,Correcties!E4:E11,"")</f>
        <v xml:space="preserve">Enkel relevant voor zon-pv. </v>
      </c>
      <c r="F16" s="447"/>
      <c r="G16" s="447"/>
      <c r="H16" s="447"/>
      <c r="I16" s="447"/>
      <c r="J16" s="447"/>
      <c r="K16" s="447"/>
      <c r="L16" s="447"/>
      <c r="M16" s="448"/>
    </row>
    <row r="17" spans="2:13" x14ac:dyDescent="0.25">
      <c r="B17" s="96" t="s">
        <v>320</v>
      </c>
      <c r="C17" s="163"/>
      <c r="D17" s="99"/>
      <c r="E17" s="447" t="s">
        <v>511</v>
      </c>
      <c r="F17" s="447"/>
      <c r="G17" s="447"/>
      <c r="H17" s="447"/>
      <c r="I17" s="447"/>
      <c r="J17" s="447"/>
      <c r="K17" s="447"/>
      <c r="L17" s="447"/>
      <c r="M17" s="448"/>
    </row>
    <row r="18" spans="2:13" x14ac:dyDescent="0.25">
      <c r="B18" s="97" t="s">
        <v>322</v>
      </c>
      <c r="C18" s="164"/>
      <c r="D18" s="107"/>
      <c r="E18" s="451" t="s">
        <v>512</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50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IF(C23="JA",IF(C24&lt;&gt;"",C21*C179/C176/C24,0),0)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IF(C23="JA",IF(C26=0,,C26*C179/C177),0)</f>
        <v>0</v>
      </c>
      <c r="D27" s="99" t="s">
        <v>333</v>
      </c>
      <c r="E27" s="447"/>
      <c r="F27" s="447"/>
      <c r="G27" s="447"/>
      <c r="H27" s="447"/>
      <c r="I27" s="447"/>
      <c r="J27" s="447"/>
      <c r="K27" s="447"/>
      <c r="L27" s="447"/>
      <c r="M27" s="448"/>
    </row>
    <row r="28" spans="2:13" x14ac:dyDescent="0.25">
      <c r="B28" s="96" t="s">
        <v>337</v>
      </c>
      <c r="C28" s="167">
        <v>50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5000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v>6580</v>
      </c>
      <c r="D39" s="99" t="str">
        <f>CONCATENATE("Euro/",$C$8)</f>
        <v>Euro/kW</v>
      </c>
      <c r="E39" s="447" t="s">
        <v>352</v>
      </c>
      <c r="F39" s="447"/>
      <c r="G39" s="447"/>
      <c r="H39" s="447"/>
      <c r="I39" s="447"/>
      <c r="J39" s="447"/>
      <c r="K39" s="447"/>
      <c r="L39" s="447"/>
      <c r="M39" s="448"/>
    </row>
    <row r="40" spans="2:13" x14ac:dyDescent="0.25">
      <c r="B40" s="109" t="s">
        <v>353</v>
      </c>
      <c r="C40" s="160"/>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0.33130299999999996</v>
      </c>
      <c r="D41" s="99" t="s">
        <v>355</v>
      </c>
      <c r="E41" s="453"/>
      <c r="F41" s="447"/>
      <c r="G41" s="447"/>
      <c r="H41" s="447"/>
      <c r="I41" s="447"/>
      <c r="J41" s="447"/>
      <c r="K41" s="447"/>
      <c r="L41" s="447"/>
      <c r="M41" s="448"/>
    </row>
    <row r="42" spans="2:13" x14ac:dyDescent="0.25">
      <c r="B42" s="109" t="s">
        <v>356</v>
      </c>
      <c r="C42" s="165">
        <v>110</v>
      </c>
      <c r="D42" s="99" t="str">
        <f>CONCATENATE("Euro/",$C$8,"/jaar")</f>
        <v>Euro/kW/jaar</v>
      </c>
      <c r="E42" s="447" t="s">
        <v>357</v>
      </c>
      <c r="F42" s="447"/>
      <c r="G42" s="447"/>
      <c r="H42" s="447"/>
      <c r="I42" s="447"/>
      <c r="J42" s="447"/>
      <c r="K42" s="447"/>
      <c r="L42" s="447"/>
      <c r="M42" s="448"/>
    </row>
    <row r="43" spans="2:13" x14ac:dyDescent="0.25">
      <c r="B43" s="109" t="s">
        <v>358</v>
      </c>
      <c r="C43" s="165"/>
      <c r="D43" s="99" t="str">
        <f>CONCATENATE("Euro/",$C$8,"/jaar")</f>
        <v>Euro/kW/jaar</v>
      </c>
      <c r="E43" s="447" t="s">
        <v>357</v>
      </c>
      <c r="F43" s="447"/>
      <c r="G43" s="447"/>
      <c r="H43" s="447"/>
      <c r="I43" s="447"/>
      <c r="J43" s="447"/>
      <c r="K43" s="447"/>
      <c r="L43" s="447"/>
      <c r="M43" s="448"/>
    </row>
    <row r="44" spans="2:13" x14ac:dyDescent="0.25">
      <c r="B44" s="96" t="s">
        <v>359</v>
      </c>
      <c r="C44" s="348">
        <f>(C42*C21+C43*SUM(C26,C28))/1000</f>
        <v>5.5</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2.8999999999999998E-3</v>
      </c>
      <c r="D48" s="99" t="str">
        <f>CONCATENATE("Euro/",$C$7)</f>
        <v>Euro/kWh</v>
      </c>
      <c r="E48" s="447"/>
      <c r="F48" s="447"/>
      <c r="G48" s="447"/>
      <c r="H48" s="447"/>
      <c r="I48" s="447"/>
      <c r="J48" s="447"/>
      <c r="K48" s="447"/>
      <c r="L48" s="447"/>
      <c r="M48" s="448"/>
    </row>
    <row r="49" spans="2:13" x14ac:dyDescent="0.25">
      <c r="B49" s="97" t="s">
        <v>366</v>
      </c>
      <c r="C49" s="142">
        <f>SUM(C45:C48)</f>
        <v>2.8999999999999998E-3</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IF(C52=0,,C21*MAX(C29,C30)*C179/C52/1000)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v>0</v>
      </c>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4.8000000000000001E-2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4.8000000000000001E-2</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15</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5.45E-2</v>
      </c>
      <c r="D80" s="99" t="s">
        <v>406</v>
      </c>
      <c r="E80" s="447" t="s">
        <v>407</v>
      </c>
      <c r="F80" s="447"/>
      <c r="G80" s="447"/>
      <c r="H80" s="447"/>
      <c r="I80" s="447"/>
      <c r="J80" s="447"/>
      <c r="K80" s="447"/>
      <c r="L80" s="447"/>
      <c r="M80" s="448"/>
    </row>
    <row r="81" spans="2:13" x14ac:dyDescent="0.25">
      <c r="B81" s="96" t="s">
        <v>408</v>
      </c>
      <c r="C81" s="171">
        <v>5000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3750000</v>
      </c>
      <c r="D84" s="98" t="str">
        <f>C7</f>
        <v>kWh</v>
      </c>
      <c r="E84" s="447"/>
      <c r="F84" s="447"/>
      <c r="G84" s="447"/>
      <c r="H84" s="447"/>
      <c r="I84" s="447"/>
      <c r="J84" s="447"/>
      <c r="K84" s="447"/>
      <c r="L84" s="447"/>
      <c r="M84" s="448"/>
    </row>
    <row r="85" spans="2:13" x14ac:dyDescent="0.25">
      <c r="B85" s="113" t="s">
        <v>413</v>
      </c>
      <c r="C85" s="145">
        <f>IF(C77=0,SUM(E118:INDEX(E118:AR118,1,C73)),SUM(E118:INDEX(E118:AR118,1,C77)))</f>
        <v>3750000</v>
      </c>
      <c r="D85" s="98" t="str">
        <f>C7</f>
        <v>kWh</v>
      </c>
      <c r="E85" s="447"/>
      <c r="F85" s="447"/>
      <c r="G85" s="447"/>
      <c r="H85" s="447"/>
      <c r="I85" s="447"/>
      <c r="J85" s="447"/>
      <c r="K85" s="447"/>
      <c r="L85" s="447"/>
      <c r="M85" s="448"/>
    </row>
    <row r="86" spans="2:13" x14ac:dyDescent="0.25">
      <c r="B86" s="114" t="s">
        <v>414</v>
      </c>
      <c r="C86" s="146">
        <f>C85/C84</f>
        <v>1</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0.06</v>
      </c>
      <c r="D90" s="99"/>
      <c r="E90" s="447"/>
      <c r="F90" s="447"/>
      <c r="G90" s="447"/>
      <c r="H90" s="447"/>
      <c r="I90" s="447"/>
      <c r="J90" s="447"/>
      <c r="K90" s="447"/>
      <c r="L90" s="447"/>
      <c r="M90" s="448"/>
    </row>
    <row r="91" spans="2:13" x14ac:dyDescent="0.25">
      <c r="B91" s="96" t="s">
        <v>418</v>
      </c>
      <c r="C91" s="45">
        <v>8.5000000000000006E-2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t="s">
        <v>79</v>
      </c>
      <c r="D100" s="103"/>
      <c r="E100" s="445" t="s">
        <v>63</v>
      </c>
      <c r="F100" s="445"/>
      <c r="G100" s="445"/>
      <c r="H100" s="445"/>
      <c r="I100" s="445"/>
      <c r="J100" s="445"/>
      <c r="K100" s="445"/>
      <c r="L100" s="445"/>
      <c r="M100" s="446"/>
    </row>
    <row r="101" spans="1:44" x14ac:dyDescent="0.25">
      <c r="B101" s="108" t="s">
        <v>79</v>
      </c>
      <c r="C101" s="173"/>
      <c r="D101" s="174"/>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-331302.99999999994</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250000</v>
      </c>
      <c r="F115" s="379">
        <f t="shared" si="4"/>
        <v>250000</v>
      </c>
      <c r="G115" s="379">
        <f t="shared" si="4"/>
        <v>250000</v>
      </c>
      <c r="H115" s="379">
        <f t="shared" si="4"/>
        <v>250000</v>
      </c>
      <c r="I115" s="379">
        <f t="shared" si="4"/>
        <v>250000</v>
      </c>
      <c r="J115" s="379">
        <f t="shared" si="4"/>
        <v>250000</v>
      </c>
      <c r="K115" s="379">
        <f t="shared" si="4"/>
        <v>250000</v>
      </c>
      <c r="L115" s="379">
        <f t="shared" si="4"/>
        <v>250000</v>
      </c>
      <c r="M115" s="379">
        <f t="shared" si="4"/>
        <v>250000</v>
      </c>
      <c r="N115" s="379">
        <f t="shared" si="4"/>
        <v>250000</v>
      </c>
      <c r="O115" s="379">
        <f t="shared" si="4"/>
        <v>250000</v>
      </c>
      <c r="P115" s="379">
        <f t="shared" si="4"/>
        <v>250000</v>
      </c>
      <c r="Q115" s="379">
        <f t="shared" si="4"/>
        <v>250000</v>
      </c>
      <c r="R115" s="379">
        <f t="shared" si="4"/>
        <v>250000</v>
      </c>
      <c r="S115" s="379">
        <f t="shared" si="4"/>
        <v>250000</v>
      </c>
      <c r="T115" s="379">
        <f t="shared" si="4"/>
        <v>0</v>
      </c>
      <c r="U115" s="379">
        <f t="shared" si="4"/>
        <v>0</v>
      </c>
      <c r="V115" s="379">
        <f t="shared" si="4"/>
        <v>0</v>
      </c>
      <c r="W115" s="379">
        <f t="shared" si="4"/>
        <v>0</v>
      </c>
      <c r="X115" s="379">
        <f t="shared" si="4"/>
        <v>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IF(OR(E112&gt;$C$73,$C$23&lt;&gt;"JA"),0,$C$26*$C$29*$C$182/$C$181)</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250000</v>
      </c>
      <c r="F118" s="150">
        <f t="shared" ref="F118:AR118" si="7">SUM(F115:F117)</f>
        <v>250000</v>
      </c>
      <c r="G118" s="150">
        <f t="shared" si="7"/>
        <v>250000</v>
      </c>
      <c r="H118" s="150">
        <f t="shared" si="7"/>
        <v>250000</v>
      </c>
      <c r="I118" s="150">
        <f t="shared" si="7"/>
        <v>250000</v>
      </c>
      <c r="J118" s="150">
        <f t="shared" si="7"/>
        <v>250000</v>
      </c>
      <c r="K118" s="150">
        <f t="shared" si="7"/>
        <v>250000</v>
      </c>
      <c r="L118" s="150">
        <f t="shared" si="7"/>
        <v>250000</v>
      </c>
      <c r="M118" s="150">
        <f t="shared" si="7"/>
        <v>250000</v>
      </c>
      <c r="N118" s="150">
        <f t="shared" si="7"/>
        <v>250000</v>
      </c>
      <c r="O118" s="150">
        <f t="shared" si="7"/>
        <v>250000</v>
      </c>
      <c r="P118" s="150">
        <f t="shared" si="7"/>
        <v>250000</v>
      </c>
      <c r="Q118" s="150">
        <f t="shared" si="7"/>
        <v>250000</v>
      </c>
      <c r="R118" s="150">
        <f t="shared" si="7"/>
        <v>250000</v>
      </c>
      <c r="S118" s="150">
        <f t="shared" si="7"/>
        <v>250000</v>
      </c>
      <c r="T118" s="150">
        <f t="shared" si="7"/>
        <v>0</v>
      </c>
      <c r="U118" s="150">
        <f t="shared" si="7"/>
        <v>0</v>
      </c>
      <c r="V118" s="150">
        <f t="shared" si="7"/>
        <v>0</v>
      </c>
      <c r="W118" s="150">
        <f t="shared" si="7"/>
        <v>0</v>
      </c>
      <c r="X118" s="150">
        <f t="shared" si="7"/>
        <v>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-6225</v>
      </c>
      <c r="F120" s="379">
        <f t="shared" ref="F120:AR120" si="8">IF(F112&gt;$C$73,0,-F109*(($C$42*$C$21+$C$43*SUM($C$26,$C$28))+F118*$C$49))+IF($C$101=F112,$D$101*F109,0)+IF($C$102=F112,$D$102*F109,0)+IF($C$103=F112,$D$103*F109,0)</f>
        <v>-6349.5</v>
      </c>
      <c r="G120" s="379">
        <f t="shared" si="8"/>
        <v>-6476.49</v>
      </c>
      <c r="H120" s="379">
        <f t="shared" si="8"/>
        <v>-6606.0197999999991</v>
      </c>
      <c r="I120" s="379">
        <f t="shared" si="8"/>
        <v>-6738.1401960000003</v>
      </c>
      <c r="J120" s="379">
        <f t="shared" si="8"/>
        <v>-6872.9029999200002</v>
      </c>
      <c r="K120" s="379">
        <f t="shared" si="8"/>
        <v>-7010.3610599184003</v>
      </c>
      <c r="L120" s="379">
        <f t="shared" si="8"/>
        <v>-7150.5682811167671</v>
      </c>
      <c r="M120" s="379">
        <f t="shared" si="8"/>
        <v>-7293.5796467391028</v>
      </c>
      <c r="N120" s="379">
        <f t="shared" si="8"/>
        <v>-7439.4512396738846</v>
      </c>
      <c r="O120" s="379">
        <f t="shared" si="8"/>
        <v>-7588.240264467363</v>
      </c>
      <c r="P120" s="379">
        <f t="shared" si="8"/>
        <v>-7740.0050697567085</v>
      </c>
      <c r="Q120" s="379">
        <f t="shared" si="8"/>
        <v>-7894.8051711518447</v>
      </c>
      <c r="R120" s="379">
        <f t="shared" si="8"/>
        <v>-8052.7012745748807</v>
      </c>
      <c r="S120" s="379">
        <f t="shared" si="8"/>
        <v>-8213.7553000663793</v>
      </c>
      <c r="T120" s="379">
        <f t="shared" si="8"/>
        <v>0</v>
      </c>
      <c r="U120" s="379">
        <f t="shared" si="8"/>
        <v>0</v>
      </c>
      <c r="V120" s="379">
        <f t="shared" si="8"/>
        <v>0</v>
      </c>
      <c r="W120" s="379">
        <f t="shared" si="8"/>
        <v>0</v>
      </c>
      <c r="X120" s="379">
        <f t="shared" si="8"/>
        <v>0</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-E109*$C$54/$C$52*$C$21*MAX($C$29,$C$30)*$C$183/1000)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0</v>
      </c>
      <c r="U122" s="382">
        <f t="shared" si="10"/>
        <v>0</v>
      </c>
      <c r="V122" s="382">
        <f t="shared" si="10"/>
        <v>0</v>
      </c>
      <c r="W122" s="382">
        <f t="shared" si="10"/>
        <v>0</v>
      </c>
      <c r="X122" s="382">
        <f t="shared" si="10"/>
        <v>0</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0</v>
      </c>
      <c r="U127" s="379">
        <f t="shared" si="15"/>
        <v>0</v>
      </c>
      <c r="V127" s="379">
        <f t="shared" si="15"/>
        <v>0</v>
      </c>
      <c r="W127" s="379">
        <f t="shared" si="15"/>
        <v>0</v>
      </c>
      <c r="X127" s="379">
        <f t="shared" si="15"/>
        <v>0</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0</v>
      </c>
      <c r="U130" s="379">
        <f t="shared" si="17"/>
        <v>0</v>
      </c>
      <c r="V130" s="379">
        <f t="shared" si="17"/>
        <v>0</v>
      </c>
      <c r="W130" s="379">
        <f t="shared" si="17"/>
        <v>0</v>
      </c>
      <c r="X130" s="379">
        <f t="shared" si="17"/>
        <v>0</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-6225</v>
      </c>
      <c r="F131" s="379">
        <f t="shared" si="18"/>
        <v>-6349.5</v>
      </c>
      <c r="G131" s="379">
        <f t="shared" si="18"/>
        <v>-6476.49</v>
      </c>
      <c r="H131" s="379">
        <f t="shared" si="18"/>
        <v>-6606.0197999999991</v>
      </c>
      <c r="I131" s="379">
        <f t="shared" si="18"/>
        <v>-6738.1401960000003</v>
      </c>
      <c r="J131" s="379">
        <f t="shared" si="18"/>
        <v>-6872.9029999200002</v>
      </c>
      <c r="K131" s="379">
        <f t="shared" si="18"/>
        <v>-7010.3610599184003</v>
      </c>
      <c r="L131" s="379">
        <f t="shared" si="18"/>
        <v>-7150.5682811167671</v>
      </c>
      <c r="M131" s="379">
        <f t="shared" si="18"/>
        <v>-7293.5796467391028</v>
      </c>
      <c r="N131" s="379">
        <f t="shared" si="18"/>
        <v>-7439.4512396738846</v>
      </c>
      <c r="O131" s="379">
        <f t="shared" si="18"/>
        <v>-7588.240264467363</v>
      </c>
      <c r="P131" s="379">
        <f t="shared" si="18"/>
        <v>-7740.0050697567085</v>
      </c>
      <c r="Q131" s="379">
        <f t="shared" si="18"/>
        <v>-7894.8051711518447</v>
      </c>
      <c r="R131" s="379">
        <f t="shared" si="18"/>
        <v>-8052.7012745748807</v>
      </c>
      <c r="S131" s="379">
        <f t="shared" si="18"/>
        <v>-8213.7553000663793</v>
      </c>
      <c r="T131" s="379">
        <f t="shared" si="18"/>
        <v>0</v>
      </c>
      <c r="U131" s="379">
        <f t="shared" si="18"/>
        <v>0</v>
      </c>
      <c r="V131" s="379">
        <f t="shared" si="18"/>
        <v>0</v>
      </c>
      <c r="W131" s="379">
        <f t="shared" si="18"/>
        <v>0</v>
      </c>
      <c r="X131" s="379">
        <f t="shared" si="18"/>
        <v>0</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-6225</v>
      </c>
      <c r="F132" s="386">
        <f t="shared" ref="F132:AR132" si="19">SUM(F130:F131)</f>
        <v>-6349.5</v>
      </c>
      <c r="G132" s="386">
        <f t="shared" si="19"/>
        <v>-6476.49</v>
      </c>
      <c r="H132" s="386">
        <f t="shared" si="19"/>
        <v>-6606.0197999999991</v>
      </c>
      <c r="I132" s="386">
        <f t="shared" si="19"/>
        <v>-6738.1401960000003</v>
      </c>
      <c r="J132" s="386">
        <f t="shared" si="19"/>
        <v>-6872.9029999200002</v>
      </c>
      <c r="K132" s="386">
        <f t="shared" si="19"/>
        <v>-7010.3610599184003</v>
      </c>
      <c r="L132" s="386">
        <f t="shared" si="19"/>
        <v>-7150.5682811167671</v>
      </c>
      <c r="M132" s="386">
        <f t="shared" si="19"/>
        <v>-7293.5796467391028</v>
      </c>
      <c r="N132" s="386">
        <f t="shared" si="19"/>
        <v>-7439.4512396738846</v>
      </c>
      <c r="O132" s="386">
        <f t="shared" si="19"/>
        <v>-7588.240264467363</v>
      </c>
      <c r="P132" s="386">
        <f t="shared" si="19"/>
        <v>-7740.0050697567085</v>
      </c>
      <c r="Q132" s="386">
        <f t="shared" si="19"/>
        <v>-7894.8051711518447</v>
      </c>
      <c r="R132" s="386">
        <f t="shared" si="19"/>
        <v>-8052.7012745748807</v>
      </c>
      <c r="S132" s="386">
        <f t="shared" si="19"/>
        <v>-8213.7553000663793</v>
      </c>
      <c r="T132" s="386">
        <f t="shared" si="19"/>
        <v>0</v>
      </c>
      <c r="U132" s="386">
        <f t="shared" si="19"/>
        <v>0</v>
      </c>
      <c r="V132" s="386">
        <f t="shared" si="19"/>
        <v>0</v>
      </c>
      <c r="W132" s="386">
        <f t="shared" si="19"/>
        <v>0</v>
      </c>
      <c r="X132" s="386">
        <f t="shared" si="19"/>
        <v>0</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-22086.866666666661</v>
      </c>
      <c r="F134" s="379">
        <f t="shared" si="20"/>
        <v>-22086.866666666661</v>
      </c>
      <c r="G134" s="379">
        <f t="shared" si="20"/>
        <v>-22086.866666666661</v>
      </c>
      <c r="H134" s="379">
        <f t="shared" si="20"/>
        <v>-22086.866666666661</v>
      </c>
      <c r="I134" s="379">
        <f t="shared" si="20"/>
        <v>-22086.866666666661</v>
      </c>
      <c r="J134" s="379">
        <f t="shared" si="20"/>
        <v>-22086.866666666661</v>
      </c>
      <c r="K134" s="379">
        <f t="shared" si="20"/>
        <v>-22086.866666666661</v>
      </c>
      <c r="L134" s="379">
        <f t="shared" si="20"/>
        <v>-22086.866666666661</v>
      </c>
      <c r="M134" s="379">
        <f t="shared" si="20"/>
        <v>-22086.866666666661</v>
      </c>
      <c r="N134" s="379">
        <f t="shared" si="20"/>
        <v>-22086.866666666661</v>
      </c>
      <c r="O134" s="379">
        <f t="shared" si="20"/>
        <v>-22086.866666666661</v>
      </c>
      <c r="P134" s="379">
        <f t="shared" si="20"/>
        <v>-22086.866666666661</v>
      </c>
      <c r="Q134" s="379">
        <f t="shared" si="20"/>
        <v>-22086.866666666661</v>
      </c>
      <c r="R134" s="379">
        <f t="shared" si="20"/>
        <v>-22086.866666666661</v>
      </c>
      <c r="S134" s="379">
        <f t="shared" si="20"/>
        <v>-22086.866666666661</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-13914.725999999997</v>
      </c>
      <c r="F135" s="379">
        <f t="shared" si="21"/>
        <v>-13316.910911359142</v>
      </c>
      <c r="G135" s="379">
        <f t="shared" si="21"/>
        <v>-12683.226917399839</v>
      </c>
      <c r="H135" s="379">
        <f t="shared" si="21"/>
        <v>-12011.521883802976</v>
      </c>
      <c r="I135" s="379">
        <f t="shared" si="21"/>
        <v>-11299.514548190304</v>
      </c>
      <c r="J135" s="379">
        <f t="shared" si="21"/>
        <v>-10544.78677244087</v>
      </c>
      <c r="K135" s="379">
        <f t="shared" si="21"/>
        <v>-9744.7753301464709</v>
      </c>
      <c r="L135" s="379">
        <f t="shared" si="21"/>
        <v>-8896.7632013144048</v>
      </c>
      <c r="M135" s="379">
        <f t="shared" si="21"/>
        <v>-7997.8703447524185</v>
      </c>
      <c r="N135" s="379">
        <f t="shared" si="21"/>
        <v>-7045.0439167967097</v>
      </c>
      <c r="O135" s="379">
        <f t="shared" si="21"/>
        <v>-6035.0479031636623</v>
      </c>
      <c r="P135" s="379">
        <f t="shared" si="21"/>
        <v>-4964.4521287126299</v>
      </c>
      <c r="Q135" s="379">
        <f t="shared" si="21"/>
        <v>-3829.6206077945353</v>
      </c>
      <c r="R135" s="379">
        <f t="shared" si="21"/>
        <v>-2626.6991956213556</v>
      </c>
      <c r="S135" s="379">
        <f t="shared" si="21"/>
        <v>-1351.602498717785</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-9963.5848106808753</v>
      </c>
      <c r="F136" s="379">
        <f t="shared" si="22"/>
        <v>-10561.399899321726</v>
      </c>
      <c r="G136" s="379">
        <f t="shared" si="22"/>
        <v>-11195.083893281033</v>
      </c>
      <c r="H136" s="379">
        <f t="shared" si="22"/>
        <v>-11866.788926877894</v>
      </c>
      <c r="I136" s="379">
        <f t="shared" si="22"/>
        <v>-12578.796262490569</v>
      </c>
      <c r="J136" s="379">
        <f t="shared" si="22"/>
        <v>-13333.524038240001</v>
      </c>
      <c r="K136" s="379">
        <f t="shared" si="22"/>
        <v>-14133.5354805344</v>
      </c>
      <c r="L136" s="379">
        <f t="shared" si="22"/>
        <v>-14981.547609366464</v>
      </c>
      <c r="M136" s="379">
        <f t="shared" si="22"/>
        <v>-15880.440465928452</v>
      </c>
      <c r="N136" s="379">
        <f t="shared" si="22"/>
        <v>-16833.26689388416</v>
      </c>
      <c r="O136" s="379">
        <f t="shared" si="22"/>
        <v>-17843.262907517208</v>
      </c>
      <c r="P136" s="379">
        <f t="shared" si="22"/>
        <v>-18913.858681968242</v>
      </c>
      <c r="Q136" s="379">
        <f t="shared" si="22"/>
        <v>-20048.690202886337</v>
      </c>
      <c r="R136" s="379">
        <f t="shared" si="22"/>
        <v>-21251.611615059515</v>
      </c>
      <c r="S136" s="379">
        <f t="shared" si="22"/>
        <v>-22526.708311963088</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-23878.310810680872</v>
      </c>
      <c r="F137" s="386">
        <f t="shared" ref="F137:AR137" si="23">SUM(F135,F136)</f>
        <v>-23878.310810680869</v>
      </c>
      <c r="G137" s="386">
        <f t="shared" si="23"/>
        <v>-23878.310810680872</v>
      </c>
      <c r="H137" s="386">
        <f t="shared" si="23"/>
        <v>-23878.310810680872</v>
      </c>
      <c r="I137" s="386">
        <f t="shared" si="23"/>
        <v>-23878.310810680872</v>
      </c>
      <c r="J137" s="386">
        <f t="shared" si="23"/>
        <v>-23878.310810680872</v>
      </c>
      <c r="K137" s="386">
        <f t="shared" si="23"/>
        <v>-23878.310810680872</v>
      </c>
      <c r="L137" s="386">
        <f t="shared" si="23"/>
        <v>-23878.310810680869</v>
      </c>
      <c r="M137" s="386">
        <f t="shared" si="23"/>
        <v>-23878.310810680872</v>
      </c>
      <c r="N137" s="386">
        <f t="shared" si="23"/>
        <v>-23878.310810680869</v>
      </c>
      <c r="O137" s="386">
        <f t="shared" si="23"/>
        <v>-23878.310810680872</v>
      </c>
      <c r="P137" s="386">
        <f t="shared" si="23"/>
        <v>-23878.310810680872</v>
      </c>
      <c r="Q137" s="386">
        <f t="shared" si="23"/>
        <v>-23878.310810680872</v>
      </c>
      <c r="R137" s="386">
        <f t="shared" si="23"/>
        <v>-23878.310810680872</v>
      </c>
      <c r="S137" s="386">
        <f t="shared" si="23"/>
        <v>-23878.310810680872</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-42226.592666666656</v>
      </c>
      <c r="F139" s="379">
        <f t="shared" ref="F139:AR139" si="24">F132+F134+F135</f>
        <v>-41753.277578025802</v>
      </c>
      <c r="G139" s="379">
        <f t="shared" si="24"/>
        <v>-41246.583584066495</v>
      </c>
      <c r="H139" s="379">
        <f t="shared" si="24"/>
        <v>-40704.408350469632</v>
      </c>
      <c r="I139" s="379">
        <f t="shared" si="24"/>
        <v>-40124.521410856963</v>
      </c>
      <c r="J139" s="379">
        <f t="shared" si="24"/>
        <v>-39504.556439027532</v>
      </c>
      <c r="K139" s="379">
        <f t="shared" si="24"/>
        <v>-38842.003056731533</v>
      </c>
      <c r="L139" s="379">
        <f t="shared" si="24"/>
        <v>-38134.198149097836</v>
      </c>
      <c r="M139" s="379">
        <f t="shared" si="24"/>
        <v>-37378.316658158183</v>
      </c>
      <c r="N139" s="379">
        <f t="shared" si="24"/>
        <v>-36571.36182313726</v>
      </c>
      <c r="O139" s="379">
        <f t="shared" si="24"/>
        <v>-35710.154834297689</v>
      </c>
      <c r="P139" s="379">
        <f t="shared" si="24"/>
        <v>-34791.323865136001</v>
      </c>
      <c r="Q139" s="379">
        <f t="shared" si="24"/>
        <v>-33811.292445613042</v>
      </c>
      <c r="R139" s="379">
        <f t="shared" si="24"/>
        <v>-32766.267136862898</v>
      </c>
      <c r="S139" s="379">
        <f t="shared" si="24"/>
        <v>-31652.224465450825</v>
      </c>
      <c r="T139" s="379">
        <f t="shared" si="24"/>
        <v>0</v>
      </c>
      <c r="U139" s="379">
        <f t="shared" si="24"/>
        <v>0</v>
      </c>
      <c r="V139" s="379">
        <f t="shared" si="24"/>
        <v>0</v>
      </c>
      <c r="W139" s="379">
        <f t="shared" si="24"/>
        <v>0</v>
      </c>
      <c r="X139" s="379">
        <f t="shared" si="24"/>
        <v>0</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8023.0526066666653</v>
      </c>
      <c r="F140" s="379">
        <f t="shared" si="25"/>
        <v>7933.1227398249021</v>
      </c>
      <c r="G140" s="379">
        <f t="shared" si="25"/>
        <v>7836.8508809726345</v>
      </c>
      <c r="H140" s="379">
        <f t="shared" si="25"/>
        <v>7733.8375865892303</v>
      </c>
      <c r="I140" s="379">
        <f t="shared" si="25"/>
        <v>7623.6590680628233</v>
      </c>
      <c r="J140" s="379">
        <f t="shared" si="25"/>
        <v>7505.8657234152315</v>
      </c>
      <c r="K140" s="379">
        <f t="shared" si="25"/>
        <v>7379.9805807789917</v>
      </c>
      <c r="L140" s="379">
        <f t="shared" si="25"/>
        <v>7245.4976483285891</v>
      </c>
      <c r="M140" s="379">
        <f t="shared" si="25"/>
        <v>7101.8801650500545</v>
      </c>
      <c r="N140" s="379">
        <f t="shared" si="25"/>
        <v>6948.5587463960792</v>
      </c>
      <c r="O140" s="379">
        <f t="shared" si="25"/>
        <v>6784.9294185165609</v>
      </c>
      <c r="P140" s="379">
        <f t="shared" si="25"/>
        <v>6610.3515343758399</v>
      </c>
      <c r="Q140" s="379">
        <f t="shared" si="25"/>
        <v>6424.1455646664781</v>
      </c>
      <c r="R140" s="379">
        <f t="shared" si="25"/>
        <v>6225.5907560039504</v>
      </c>
      <c r="S140" s="379">
        <f t="shared" si="25"/>
        <v>6013.9226484356568</v>
      </c>
      <c r="T140" s="379">
        <f t="shared" si="25"/>
        <v>0</v>
      </c>
      <c r="U140" s="379">
        <f t="shared" si="25"/>
        <v>0</v>
      </c>
      <c r="V140" s="379">
        <f t="shared" si="25"/>
        <v>0</v>
      </c>
      <c r="W140" s="379">
        <f t="shared" si="25"/>
        <v>0</v>
      </c>
      <c r="X140" s="379">
        <f t="shared" si="25"/>
        <v>0</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-22080.258204014208</v>
      </c>
      <c r="F142" s="386">
        <f t="shared" si="26"/>
        <v>-22294.688070855966</v>
      </c>
      <c r="G142" s="386">
        <f t="shared" si="26"/>
        <v>-22517.949929708237</v>
      </c>
      <c r="H142" s="386">
        <f t="shared" si="26"/>
        <v>-22750.49302409164</v>
      </c>
      <c r="I142" s="386">
        <f t="shared" si="26"/>
        <v>-22992.791938618051</v>
      </c>
      <c r="J142" s="386">
        <f t="shared" si="26"/>
        <v>-23245.348087185641</v>
      </c>
      <c r="K142" s="386">
        <f t="shared" si="26"/>
        <v>-23508.691289820279</v>
      </c>
      <c r="L142" s="386">
        <f t="shared" si="26"/>
        <v>-23783.381443469047</v>
      </c>
      <c r="M142" s="386">
        <f t="shared" si="26"/>
        <v>-24070.010292369923</v>
      </c>
      <c r="N142" s="386">
        <f t="shared" si="26"/>
        <v>-24369.203303958671</v>
      </c>
      <c r="O142" s="386">
        <f t="shared" si="26"/>
        <v>-24681.621656631676</v>
      </c>
      <c r="P142" s="386">
        <f t="shared" si="26"/>
        <v>-25007.964346061741</v>
      </c>
      <c r="Q142" s="386">
        <f t="shared" si="26"/>
        <v>-25348.970417166238</v>
      </c>
      <c r="R142" s="386">
        <f t="shared" si="26"/>
        <v>-25705.421329251803</v>
      </c>
      <c r="S142" s="386">
        <f t="shared" si="26"/>
        <v>-26078.143462311593</v>
      </c>
      <c r="T142" s="386">
        <f t="shared" si="26"/>
        <v>0</v>
      </c>
      <c r="U142" s="386">
        <f t="shared" si="26"/>
        <v>0</v>
      </c>
      <c r="V142" s="386">
        <f t="shared" si="26"/>
        <v>0</v>
      </c>
      <c r="W142" s="386">
        <f t="shared" si="26"/>
        <v>0</v>
      </c>
      <c r="X142" s="386">
        <f t="shared" si="26"/>
        <v>0</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-331302.99999999994</v>
      </c>
      <c r="E143" s="379">
        <f>E132+E140</f>
        <v>1798.0526066666653</v>
      </c>
      <c r="F143" s="379">
        <f t="shared" ref="F143:AR143" si="27">F132+F140</f>
        <v>1583.6227398249021</v>
      </c>
      <c r="G143" s="379">
        <f t="shared" si="27"/>
        <v>1360.3608809726347</v>
      </c>
      <c r="H143" s="379">
        <f t="shared" si="27"/>
        <v>1127.8177865892312</v>
      </c>
      <c r="I143" s="379">
        <f t="shared" si="27"/>
        <v>885.51887206282299</v>
      </c>
      <c r="J143" s="379">
        <f t="shared" si="27"/>
        <v>632.96272349523133</v>
      </c>
      <c r="K143" s="379">
        <f t="shared" si="27"/>
        <v>369.61952086059136</v>
      </c>
      <c r="L143" s="379">
        <f t="shared" si="27"/>
        <v>94.929367211821955</v>
      </c>
      <c r="M143" s="379">
        <f t="shared" si="27"/>
        <v>-191.6994816890483</v>
      </c>
      <c r="N143" s="379">
        <f t="shared" si="27"/>
        <v>-490.89249327780544</v>
      </c>
      <c r="O143" s="379">
        <f t="shared" si="27"/>
        <v>-803.3108459508021</v>
      </c>
      <c r="P143" s="379">
        <f t="shared" si="27"/>
        <v>-1129.6535353808686</v>
      </c>
      <c r="Q143" s="379">
        <f t="shared" si="27"/>
        <v>-1470.6596064853666</v>
      </c>
      <c r="R143" s="379">
        <f t="shared" si="27"/>
        <v>-1827.1105185709303</v>
      </c>
      <c r="S143" s="379">
        <f t="shared" si="27"/>
        <v>-2199.8326516307225</v>
      </c>
      <c r="T143" s="379">
        <f t="shared" si="27"/>
        <v>0</v>
      </c>
      <c r="U143" s="379">
        <f t="shared" si="27"/>
        <v>0</v>
      </c>
      <c r="V143" s="379">
        <f t="shared" si="27"/>
        <v>0</v>
      </c>
      <c r="W143" s="379">
        <f t="shared" si="27"/>
        <v>0</v>
      </c>
      <c r="X143" s="379">
        <f t="shared" si="27"/>
        <v>0</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-99390.89999999998</v>
      </c>
      <c r="E144" s="379">
        <f>E142</f>
        <v>-22080.258204014208</v>
      </c>
      <c r="F144" s="379">
        <f t="shared" ref="F144:AR144" si="28">F142</f>
        <v>-22294.688070855966</v>
      </c>
      <c r="G144" s="379">
        <f t="shared" si="28"/>
        <v>-22517.949929708237</v>
      </c>
      <c r="H144" s="379">
        <f t="shared" si="28"/>
        <v>-22750.49302409164</v>
      </c>
      <c r="I144" s="379">
        <f t="shared" si="28"/>
        <v>-22992.791938618051</v>
      </c>
      <c r="J144" s="379">
        <f t="shared" si="28"/>
        <v>-23245.348087185641</v>
      </c>
      <c r="K144" s="379">
        <f t="shared" si="28"/>
        <v>-23508.691289820279</v>
      </c>
      <c r="L144" s="379">
        <f t="shared" si="28"/>
        <v>-23783.381443469047</v>
      </c>
      <c r="M144" s="379">
        <f t="shared" si="28"/>
        <v>-24070.010292369923</v>
      </c>
      <c r="N144" s="379">
        <f t="shared" si="28"/>
        <v>-24369.203303958671</v>
      </c>
      <c r="O144" s="379">
        <f t="shared" si="28"/>
        <v>-24681.621656631676</v>
      </c>
      <c r="P144" s="379">
        <f t="shared" si="28"/>
        <v>-25007.964346061741</v>
      </c>
      <c r="Q144" s="379">
        <f t="shared" si="28"/>
        <v>-25348.970417166238</v>
      </c>
      <c r="R144" s="379">
        <f t="shared" si="28"/>
        <v>-25705.421329251803</v>
      </c>
      <c r="S144" s="379">
        <f t="shared" si="28"/>
        <v>-26078.143462311593</v>
      </c>
      <c r="T144" s="379">
        <f t="shared" si="28"/>
        <v>0</v>
      </c>
      <c r="U144" s="379">
        <f t="shared" si="28"/>
        <v>0</v>
      </c>
      <c r="V144" s="379">
        <f t="shared" si="28"/>
        <v>0</v>
      </c>
      <c r="W144" s="379">
        <f t="shared" si="28"/>
        <v>0</v>
      </c>
      <c r="X144" s="379">
        <f t="shared" si="28"/>
        <v>0</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250000</v>
      </c>
      <c r="F145" s="379">
        <f t="shared" si="29"/>
        <v>250000</v>
      </c>
      <c r="G145" s="379">
        <f t="shared" si="29"/>
        <v>250000</v>
      </c>
      <c r="H145" s="379">
        <f t="shared" si="29"/>
        <v>250000</v>
      </c>
      <c r="I145" s="379">
        <f t="shared" si="29"/>
        <v>250000</v>
      </c>
      <c r="J145" s="379">
        <f t="shared" si="29"/>
        <v>250000</v>
      </c>
      <c r="K145" s="379">
        <f t="shared" si="29"/>
        <v>250000</v>
      </c>
      <c r="L145" s="379">
        <f t="shared" si="29"/>
        <v>250000</v>
      </c>
      <c r="M145" s="379">
        <f t="shared" si="29"/>
        <v>250000</v>
      </c>
      <c r="N145" s="379">
        <f t="shared" si="29"/>
        <v>250000</v>
      </c>
      <c r="O145" s="379">
        <f t="shared" si="29"/>
        <v>250000</v>
      </c>
      <c r="P145" s="379">
        <f t="shared" si="29"/>
        <v>250000</v>
      </c>
      <c r="Q145" s="379">
        <f t="shared" si="29"/>
        <v>250000</v>
      </c>
      <c r="R145" s="379">
        <f t="shared" si="29"/>
        <v>250000</v>
      </c>
      <c r="S145" s="379">
        <f t="shared" si="29"/>
        <v>250000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331302.99999999994</v>
      </c>
      <c r="E146" s="123">
        <f>IF(E112&lt;=$C76,D146-($C$5*E118+E132+E135),D146-(E132+E135))</f>
        <v>307667.72599999991</v>
      </c>
      <c r="F146" s="123">
        <f t="shared" ref="F146:AR146" si="30">IF(F112&lt;=$C76,E146-($C$5*F118+F132+F135),E146-(F132+F135))</f>
        <v>283559.13691135903</v>
      </c>
      <c r="G146" s="123">
        <f t="shared" si="30"/>
        <v>258943.85382875887</v>
      </c>
      <c r="H146" s="123">
        <f t="shared" si="30"/>
        <v>233786.39551256184</v>
      </c>
      <c r="I146" s="123">
        <f>IF(I112&lt;=$C76,H146-($C$5*I118+I132+I135),H146-(I132+I135))</f>
        <v>208049.05025675215</v>
      </c>
      <c r="J146" s="123">
        <f t="shared" si="30"/>
        <v>181691.74002911302</v>
      </c>
      <c r="K146" s="123">
        <f>IF(K112&lt;=$C76,J146-($C$5*K118+K132+K135),J146-(K132+K135))</f>
        <v>154671.87641917789</v>
      </c>
      <c r="L146" s="123">
        <f t="shared" si="30"/>
        <v>126944.20790160906</v>
      </c>
      <c r="M146" s="123">
        <f t="shared" si="30"/>
        <v>98460.657893100579</v>
      </c>
      <c r="N146" s="123">
        <f t="shared" si="30"/>
        <v>69170.153049571178</v>
      </c>
      <c r="O146" s="123">
        <f t="shared" si="30"/>
        <v>39018.441217202206</v>
      </c>
      <c r="P146" s="123">
        <f t="shared" si="30"/>
        <v>7947.8984156715414</v>
      </c>
      <c r="Q146" s="123">
        <f t="shared" si="30"/>
        <v>-24102.675805382081</v>
      </c>
      <c r="R146" s="123">
        <f t="shared" si="30"/>
        <v>-57198.275335185848</v>
      </c>
      <c r="S146" s="123">
        <f t="shared" si="30"/>
        <v>-91407.917536401685</v>
      </c>
      <c r="T146" s="123">
        <f t="shared" si="30"/>
        <v>-91407.917536401685</v>
      </c>
      <c r="U146" s="123">
        <f t="shared" si="30"/>
        <v>-91407.917536401685</v>
      </c>
      <c r="V146" s="123">
        <f t="shared" si="30"/>
        <v>-91407.917536401685</v>
      </c>
      <c r="W146" s="123">
        <f t="shared" si="30"/>
        <v>-91407.917536401685</v>
      </c>
      <c r="X146" s="123">
        <f t="shared" si="30"/>
        <v>-91407.917536401685</v>
      </c>
      <c r="Y146" s="123">
        <f t="shared" si="30"/>
        <v>-91407.917536401685</v>
      </c>
      <c r="Z146" s="123">
        <f t="shared" si="30"/>
        <v>-91407.917536401685</v>
      </c>
      <c r="AA146" s="123">
        <f>IF(AA112&lt;=$C76,Z146-($C$5*AA118+AA132+AA135),Z146-(AA132+AA135))</f>
        <v>-91407.917536401685</v>
      </c>
      <c r="AB146" s="123">
        <f t="shared" si="30"/>
        <v>-91407.917536401685</v>
      </c>
      <c r="AC146" s="123">
        <f t="shared" si="30"/>
        <v>-91407.917536401685</v>
      </c>
      <c r="AD146" s="123">
        <f t="shared" si="30"/>
        <v>-91407.917536401685</v>
      </c>
      <c r="AE146" s="123">
        <f>IF(AE112&lt;=$C76,AD146-($C$5*AE118+AE132+AE135),AD146-(AE132+AE135))</f>
        <v>-91407.917536401685</v>
      </c>
      <c r="AF146" s="123">
        <f t="shared" si="30"/>
        <v>-91407.917536401685</v>
      </c>
      <c r="AG146" s="123">
        <f>IF(AG112&lt;=$C76,AF146-($C$5*AG118+AG132+AG135),AF146-(AG132+AG135))</f>
        <v>-91407.917536401685</v>
      </c>
      <c r="AH146" s="123">
        <f t="shared" si="30"/>
        <v>-91407.917536401685</v>
      </c>
      <c r="AI146" s="123">
        <f t="shared" si="30"/>
        <v>-91407.917536401685</v>
      </c>
      <c r="AJ146" s="123">
        <f t="shared" si="30"/>
        <v>-91407.917536401685</v>
      </c>
      <c r="AK146" s="123">
        <f t="shared" si="30"/>
        <v>-91407.917536401685</v>
      </c>
      <c r="AL146" s="123">
        <f t="shared" si="30"/>
        <v>-91407.917536401685</v>
      </c>
      <c r="AM146" s="123">
        <f t="shared" si="30"/>
        <v>-91407.917536401685</v>
      </c>
      <c r="AN146" s="123">
        <f t="shared" si="30"/>
        <v>-91407.917536401685</v>
      </c>
      <c r="AO146" s="123">
        <f t="shared" si="30"/>
        <v>-91407.917536401685</v>
      </c>
      <c r="AP146" s="123">
        <f t="shared" si="30"/>
        <v>-91407.917536401685</v>
      </c>
      <c r="AQ146" s="123">
        <f t="shared" si="30"/>
        <v>-91407.917536401685</v>
      </c>
      <c r="AR146" s="387">
        <f t="shared" si="30"/>
        <v>-91407.917536401685</v>
      </c>
    </row>
    <row r="147" spans="1:44" ht="13" thickBot="1" x14ac:dyDescent="0.3">
      <c r="B147" s="124" t="s">
        <v>473</v>
      </c>
      <c r="C147" s="125"/>
      <c r="D147" s="125"/>
      <c r="E147" s="126">
        <f t="shared" ref="E147:AR147" si="31">IF(E112&gt;$C$74,"",(-$C$94*(E139+$C$5*E118)+E132+$C$5*E118)/-E137)</f>
        <v>1.5602361030497174</v>
      </c>
      <c r="F147" s="126">
        <f t="shared" si="31"/>
        <v>1.551255992666623</v>
      </c>
      <c r="G147" s="126">
        <f t="shared" si="31"/>
        <v>1.5419060072081705</v>
      </c>
      <c r="H147" s="126">
        <f t="shared" si="31"/>
        <v>1.5321673328007919</v>
      </c>
      <c r="I147" s="126">
        <f t="shared" si="31"/>
        <v>1.5220200943111235</v>
      </c>
      <c r="J147" s="126">
        <f t="shared" si="31"/>
        <v>1.5114432930218709</v>
      </c>
      <c r="K147" s="126">
        <f t="shared" si="31"/>
        <v>1.5004147405952541</v>
      </c>
      <c r="L147" s="126">
        <f t="shared" si="31"/>
        <v>1.4889109891018322</v>
      </c>
      <c r="M147" s="126">
        <f t="shared" si="31"/>
        <v>1.4769072568791712</v>
      </c>
      <c r="N147" s="126">
        <f t="shared" si="31"/>
        <v>1.4643773499707264</v>
      </c>
      <c r="O147" s="126">
        <f t="shared" si="31"/>
        <v>1.4512935788802999</v>
      </c>
      <c r="P147" s="126">
        <f t="shared" si="31"/>
        <v>1.4376266703616247</v>
      </c>
      <c r="Q147" s="126">
        <f t="shared" si="31"/>
        <v>1.4233456739457491</v>
      </c>
      <c r="R147" s="126">
        <f t="shared" si="31"/>
        <v>1.4084178628911195</v>
      </c>
      <c r="S147" s="126">
        <f t="shared" si="31"/>
        <v>1.3928086292223347</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-194975.16391578072</v>
      </c>
      <c r="D150" s="57" t="s">
        <v>476</v>
      </c>
    </row>
    <row r="151" spans="1:44" x14ac:dyDescent="0.25">
      <c r="B151" s="26" t="s">
        <v>477</v>
      </c>
      <c r="C151" s="153">
        <f>(1-$C$94)*NPV($C$91,E145:AR145)</f>
        <v>1681607.9065982765</v>
      </c>
      <c r="D151" s="58" t="str">
        <f>$C$7</f>
        <v>kWh</v>
      </c>
      <c r="F151" s="59"/>
    </row>
    <row r="152" spans="1:44" x14ac:dyDescent="0.25">
      <c r="B152" s="26" t="s">
        <v>478</v>
      </c>
      <c r="C152" s="153">
        <f>$C$41*1000000</f>
        <v>331302.99999999994</v>
      </c>
      <c r="D152" s="57" t="s">
        <v>424</v>
      </c>
      <c r="F152" s="60"/>
    </row>
    <row r="153" spans="1:44" x14ac:dyDescent="0.25">
      <c r="B153" s="26" t="s">
        <v>479</v>
      </c>
      <c r="C153" s="154">
        <f>AVERAGE(E147:AR147)</f>
        <v>1.4842087716604273</v>
      </c>
      <c r="D153" s="57"/>
      <c r="F153" s="60"/>
    </row>
    <row r="154" spans="1:44" x14ac:dyDescent="0.25">
      <c r="B154" s="26" t="s">
        <v>480</v>
      </c>
      <c r="C154" s="155" t="str">
        <f>CONCATENATE(ROUND(((1-$C$94)*$C$90*$C$92+$C$93*$C$91)*100,1),"% / ",ROUND((((1+(1-$C$94)*$C$90*$C$92+$C$93*$C$91)/(1+$C$89))-1)*100,1),"%")</f>
        <v>6% / 3.9%</v>
      </c>
      <c r="D154" s="57"/>
      <c r="F154" s="59"/>
      <c r="G154" s="61"/>
    </row>
    <row r="155" spans="1:44" x14ac:dyDescent="0.25">
      <c r="B155" s="26" t="s">
        <v>481</v>
      </c>
      <c r="C155" s="156" t="str">
        <f>IFERROR(IRR(D143:AR143),"n.v.t.")</f>
        <v>n.v.t.</v>
      </c>
      <c r="D155" s="57"/>
      <c r="F155" s="60"/>
      <c r="G155" s="61"/>
    </row>
    <row r="156" spans="1:44" x14ac:dyDescent="0.25">
      <c r="B156" s="26" t="s">
        <v>482</v>
      </c>
      <c r="C156" s="156" t="str">
        <f>IFERROR(IRR(D144:AR144),"n.v.t.")</f>
        <v>n.v.t.</v>
      </c>
      <c r="D156" s="57"/>
      <c r="G156" s="61"/>
    </row>
    <row r="157" spans="1:44" x14ac:dyDescent="0.25">
      <c r="B157" s="38" t="s">
        <v>483</v>
      </c>
      <c r="C157" s="153">
        <f>$C$92*C152-C97</f>
        <v>231912.09999999995</v>
      </c>
      <c r="D157" s="57" t="s">
        <v>424</v>
      </c>
      <c r="F157" s="35"/>
    </row>
    <row r="158" spans="1:44" x14ac:dyDescent="0.25">
      <c r="B158" s="38" t="s">
        <v>484</v>
      </c>
      <c r="C158" s="153">
        <f>$C$93*C152-C98</f>
        <v>99390.89999999998</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5000</v>
      </c>
      <c r="D160" s="57" t="s">
        <v>340</v>
      </c>
      <c r="F160" s="35"/>
    </row>
    <row r="161" spans="2:44" x14ac:dyDescent="0.25">
      <c r="B161" s="43" t="s">
        <v>487</v>
      </c>
      <c r="C161" s="461" t="str">
        <f>CONCATENATE( "tussen ", INDEX(D112:X112, MATCH(0,D146:X146, -1)), " en ",  1 + INDEX(D112:X112, MATCH(0,D146:X146, -1)), " jaar")</f>
        <v>tussen 12 en 13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65" t="s">
        <v>46</v>
      </c>
      <c r="C164" s="344">
        <f>IF(OR($C12=25,$C12=24,$C12=23),(VLOOKUP(1,Correcties!$A3:$H11,8)+$C159*VLOOKUP($C12-9,Correcties!$A3:$H11,8))/(1+$C159),IF(C15&gt;0,C166*C17+C167*C18,VLOOKUP($C12,Correcties!$A3:$H11,8)))</f>
        <v>4.6624735683304261E-2</v>
      </c>
      <c r="D164" s="57" t="str">
        <f t="shared" ref="D164:D174" si="32">CONCATENATE("Euro/",$C$7)</f>
        <v>Euro/kWh</v>
      </c>
    </row>
    <row r="165" spans="2:44" ht="14.65" customHeight="1" x14ac:dyDescent="0.25">
      <c r="B165" s="65" t="s">
        <v>489</v>
      </c>
      <c r="C165" s="346" t="s">
        <v>503</v>
      </c>
      <c r="D165" s="57" t="str">
        <f t="shared" si="32"/>
        <v>Euro/kWh</v>
      </c>
    </row>
    <row r="166" spans="2:44" x14ac:dyDescent="0.25">
      <c r="B166" s="26" t="s">
        <v>490</v>
      </c>
      <c r="C166" s="140" t="str">
        <f>IFERROR(ROUND(INDEX(Correcties!$A1:$I11,MATCH(C15,Correcties!$A1:$A11,0),8),decimalen),"n.v.t.")</f>
        <v>n.v.t.</v>
      </c>
      <c r="D166" s="57" t="str">
        <f t="shared" si="32"/>
        <v>Euro/kWh</v>
      </c>
    </row>
    <row r="167" spans="2:44" s="10" customFormat="1" x14ac:dyDescent="0.25">
      <c r="B167" s="27" t="s">
        <v>33</v>
      </c>
      <c r="C167" s="343" t="str">
        <f>IFERROR(ROUND(INDEX(Correcties!$A1:$I11,MATCH(C16,Correcties!$A1:$A11,0),8),decimalen),"n.v.t.")</f>
        <v>n.v.t.</v>
      </c>
      <c r="D167" s="66" t="str">
        <f t="shared" si="32"/>
        <v>Euro/kWh</v>
      </c>
    </row>
    <row r="168" spans="2:44" s="10" customFormat="1" x14ac:dyDescent="0.25">
      <c r="B168" s="93" t="s">
        <v>491</v>
      </c>
      <c r="C168" s="342">
        <f>IF(OR($C12=25,$C12=24,$C12=23),(VLOOKUP(1,Correcties!$A3:$H10,6)+$C159*VLOOKUP($C12-9,Correcties!$A3:$H10,6))/(1+$C159),IF(C15&gt;0,IFERROR(_xlfn.XLOOKUP(C15,Correcties!A3:A11,Correcties!F3:F10),"n.v.t."),VLOOKUP($C12,Correcties!$A3:$H11,6)))</f>
        <v>6.9937103524956398E-2</v>
      </c>
      <c r="D168" s="94" t="str">
        <f t="shared" si="32"/>
        <v>Euro/kWh</v>
      </c>
    </row>
    <row r="169" spans="2:44" s="10" customFormat="1" x14ac:dyDescent="0.25">
      <c r="B169" s="26" t="str">
        <f>"Voorlopig correctiebedrag "&amp;Colofon!$C$29</f>
        <v>Voorlopig correctiebedrag 2025</v>
      </c>
      <c r="C169" s="140">
        <f>IF(OR($C12=25,$C12=24,$C12=23),ROUND((VLOOKUP(1,Correcties!$A3:$J76,4)+$D156*VLOOKUP($C12-9,Correcties!$A3:$J76,4))/(1+$D156),decimalen),IF(C16&gt;0,"netlevering: " &amp; C165 &amp; ", niet-netlevering: " &amp; C166,ROUND(VLOOKUP($C12,Correcties!$A3:$I11,4),decimalen)))</f>
        <v>7.4999999999999997E-2</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f>IF(C15&gt;0,_xlfn.XLOOKUP(C15,Correcties!A15:A16,Correcties!D15:D16,0), _xlfn.XLOOKUP(C12,Correcties!A15:A16,Correcties!D15:D16,0))</f>
        <v>0</v>
      </c>
      <c r="D170" s="94" t="str">
        <f t="shared" si="32"/>
        <v>Euro/kWh</v>
      </c>
    </row>
    <row r="171" spans="2:44" s="10" customFormat="1" x14ac:dyDescent="0.25">
      <c r="B171" s="65" t="s">
        <v>49</v>
      </c>
      <c r="C171" s="344">
        <f>IF(NOT(OR($C$13=6,$C$13=7,$C$13=9)),_xlfn.XLOOKUP($C$13,Correcties!A27:A39,Correcties!D27:D39,"foutmelding"),($C$22-1)/$C$22*Correcties!D69*IF($C$13=7,1,Correcties!D70)*IF($C$13=9,Correcties!D71,1))*IF(C159=0,1,C159/(1+C159))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IF(C14="Nee",0,IF(NOT(OR($C$13=6,$C$13=7,$C$13=9)),_xlfn.XLOOKUP($C$13,Correcties!A27:A39,Correcties!F27:F39,"foutmelding"),($C$22-1)/$C$22*Correcties!H69*IF($C$13=7,1,Correcties!H70)*IF($C$13=9,Correcties!H71,1))*IF(C159=0,1,C159/(1+C159)))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t="str">
        <f>IFERROR(ROUND(INDEX(Correcties!$A1:$K11,MATCH(C15,Correcties!$A1:$A11,0),6),decimalen),"n.v.t.")</f>
        <v>n.v.t.</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t="str">
        <f>IFERROR(ROUND(INDEX(Correcties!$A1:$K11,MATCH(C16,Correcties!$A1:$A11,0),6),decimalen),"n.v.t.")</f>
        <v>n.v.t.</v>
      </c>
      <c r="D174" s="66" t="str">
        <f t="shared" si="32"/>
        <v>Euro/kWh</v>
      </c>
      <c r="F174" s="67"/>
      <c r="G174" s="67"/>
      <c r="H174" s="67"/>
      <c r="I174" s="67"/>
      <c r="J174" s="67"/>
      <c r="K174" s="67"/>
      <c r="L174" s="67"/>
      <c r="M174" s="67"/>
      <c r="N174" s="67"/>
      <c r="O174" s="67"/>
      <c r="P174" s="67"/>
    </row>
    <row r="175" spans="2:44" s="10" customFormat="1" x14ac:dyDescent="0.25">
      <c r="B175" s="325" t="str">
        <f>"Voorlopig correctiebedrag "&amp;Colofon!$B$21&amp;" excl. negatieve uurblokken elektriciteit (NUE)"</f>
        <v>Voorlopig correctiebedrag  excl. negatieve uurblokken elektriciteit (NUE)</v>
      </c>
      <c r="C175" s="344">
        <f>IF(OR($C12=25,$C12=24,$C12=23),ROUND((VLOOKUP(1,Correcties!$A3:$J76,4)+$C159*VLOOKUP($C12-9,Correcties!$A3:$J76,4))/(1+$C165),decimalen),IF(C15&gt;0,"netlevering: " &amp; C176 &amp; ", niet-netlevering: " &amp; C177,ROUND(VLOOKUP($C12,Correcties!$A3:$I11,4),decimalen)))</f>
        <v>7.4999999999999997E-2</v>
      </c>
      <c r="D175" s="326"/>
      <c r="F175" s="67"/>
      <c r="G175" s="67"/>
      <c r="H175" s="67"/>
      <c r="I175" s="67"/>
      <c r="J175" s="67"/>
      <c r="K175" s="67"/>
      <c r="L175" s="67"/>
      <c r="M175" s="67"/>
      <c r="N175" s="67"/>
      <c r="O175" s="67"/>
      <c r="P175" s="67"/>
    </row>
    <row r="176" spans="2:44" s="10" customFormat="1" x14ac:dyDescent="0.25">
      <c r="B176" s="325" t="str">
        <f>"Voorlopig correctiebedrag "&amp;Colofon!$B$21&amp;" netlevering excl. NUE"</f>
        <v>Voorlopig correctiebedrag  netlevering excl. NUE</v>
      </c>
      <c r="C176" s="347" t="s">
        <v>503</v>
      </c>
      <c r="D176" s="326"/>
      <c r="F176" s="67"/>
      <c r="G176" s="67"/>
      <c r="H176" s="67"/>
      <c r="I176" s="67"/>
      <c r="J176" s="67"/>
      <c r="K176" s="67"/>
      <c r="L176" s="67"/>
      <c r="M176" s="67"/>
      <c r="N176" s="67"/>
      <c r="O176" s="67"/>
      <c r="P176" s="67"/>
    </row>
    <row r="177" spans="2:16" s="10" customFormat="1" x14ac:dyDescent="0.25">
      <c r="B177" s="325" t="str">
        <f>"Voorlopig correctiebedrag "&amp;Colofon!$B$21&amp;" niet-netlevering excl. NUE"</f>
        <v>Voorlopig correctiebedrag  niet-netlevering excl. NUE</v>
      </c>
      <c r="C177" s="347" t="s">
        <v>503</v>
      </c>
      <c r="D177" s="326"/>
      <c r="F177" s="67"/>
      <c r="G177" s="67"/>
      <c r="H177" s="67"/>
      <c r="I177" s="67"/>
      <c r="J177" s="67"/>
      <c r="K177" s="67"/>
      <c r="L177" s="67"/>
      <c r="M177" s="67"/>
      <c r="N177" s="67"/>
      <c r="O177" s="67"/>
      <c r="P177" s="67"/>
    </row>
    <row r="178" spans="2:16" s="10" customFormat="1" x14ac:dyDescent="0.25">
      <c r="E178" s="67"/>
      <c r="F178" s="67"/>
      <c r="G178" s="67"/>
      <c r="H178" s="67"/>
      <c r="I178" s="67"/>
      <c r="J178" s="67"/>
      <c r="K178" s="67"/>
      <c r="L178" s="67"/>
      <c r="M178" s="67"/>
      <c r="N178" s="67"/>
      <c r="O178" s="67"/>
      <c r="P178" s="67"/>
    </row>
    <row r="179" spans="2:16" s="10" customFormat="1" x14ac:dyDescent="0.25">
      <c r="B179" s="102" t="s">
        <v>495</v>
      </c>
      <c r="C179" s="103" t="s">
        <v>79</v>
      </c>
      <c r="D179" s="128" t="s">
        <v>136</v>
      </c>
    </row>
    <row r="180" spans="2:16" s="10" customFormat="1" x14ac:dyDescent="0.25">
      <c r="B180" s="26" t="s">
        <v>496</v>
      </c>
      <c r="C180" s="69">
        <v>35.799999999999997</v>
      </c>
      <c r="D180" s="57" t="s">
        <v>497</v>
      </c>
    </row>
    <row r="181" spans="2:16" s="10" customFormat="1" x14ac:dyDescent="0.25">
      <c r="B181" s="26" t="s">
        <v>498</v>
      </c>
      <c r="C181" s="69">
        <v>31.65</v>
      </c>
      <c r="D181" s="57" t="s">
        <v>497</v>
      </c>
    </row>
    <row r="182" spans="2:16" s="10" customFormat="1" x14ac:dyDescent="0.25">
      <c r="B182" s="26" t="s">
        <v>499</v>
      </c>
      <c r="C182" s="69">
        <v>35.17</v>
      </c>
      <c r="D182" s="57" t="s">
        <v>497</v>
      </c>
    </row>
    <row r="183" spans="2:16" s="10" customFormat="1" x14ac:dyDescent="0.25">
      <c r="B183" s="27" t="s">
        <v>500</v>
      </c>
      <c r="C183" s="70">
        <v>3.6</v>
      </c>
      <c r="D183" s="66" t="s">
        <v>501</v>
      </c>
    </row>
    <row r="184" spans="2:16" s="10" customFormat="1" x14ac:dyDescent="0.25">
      <c r="E184" s="71"/>
    </row>
    <row r="185" spans="2:16" s="10" customFormat="1" x14ac:dyDescent="0.25"/>
    <row r="186" spans="2:16" x14ac:dyDescent="0.25">
      <c r="E186" s="10"/>
      <c r="F186" s="10"/>
      <c r="H186" s="10"/>
    </row>
    <row r="187" spans="2:16" x14ac:dyDescent="0.25">
      <c r="E187" s="10"/>
      <c r="F187" s="10"/>
      <c r="H187" s="10"/>
    </row>
    <row r="188" spans="2:16" x14ac:dyDescent="0.25">
      <c r="E188" s="10"/>
      <c r="F188" s="10"/>
      <c r="H188" s="10"/>
    </row>
    <row r="189" spans="2:16" x14ac:dyDescent="0.25">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G3 G19 G110:G114 G149:G160 G164:G168 G170">
    <cfRule type="containsText" dxfId="2" priority="3" operator="containsText" text="Pas op">
      <formula>NOT(ISERROR(SEARCH("Pas op",G1)))</formula>
    </cfRule>
  </conditionalFormatting>
  <conditionalFormatting sqref="G105">
    <cfRule type="containsText" dxfId="1" priority="1" operator="containsText" text="Pas op">
      <formula>NOT(ISERROR(SEARCH("Pas op",G105)))</formula>
    </cfRule>
  </conditionalFormatting>
  <conditionalFormatting sqref="G184:G1048576">
    <cfRule type="containsText" dxfId="0" priority="2" operator="containsText" text="Pas op">
      <formula>NOT(ISERROR(SEARCH("Pas op",G184)))</formula>
    </cfRule>
  </conditionalFormatting>
  <dataValidations count="3">
    <dataValidation type="list" allowBlank="1" showInputMessage="1" showErrorMessage="1" sqref="C14" xr:uid="{7B948C3C-EE6C-4B8D-B74E-A012B2ABFCCA}">
      <formula1>"Nee,Ja,Geen warmte"</formula1>
    </dataValidation>
    <dataValidation type="list" allowBlank="1" showInputMessage="1" showErrorMessage="1" sqref="C7" xr:uid="{797E1F67-1AE8-4EE1-A5FC-F73E868EAF64}">
      <formula1>"t CO2,kWh"</formula1>
    </dataValidation>
    <dataValidation type="list" allowBlank="1" showInputMessage="1" showErrorMessage="1" sqref="C37361 C102897 C168433 C233969 C299505 C365041 C430577 C496113 C561649 C627185 C692721 C758257 C823793 C889329 C954865" xr:uid="{6948F042-338E-42E1-84C2-95CE358E4D12}">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F864CDA9-BD20-4E7A-AADE-22110D937D24}">
          <x14:formula1>
            <xm:f>Correcties!$A$8:$A$8</xm:f>
          </x14:formula1>
          <xm:sqref>C15</xm:sqref>
        </x14:dataValidation>
        <x14:dataValidation type="list" allowBlank="1" showInputMessage="1" showErrorMessage="1" xr:uid="{00816D27-A288-4054-8AE0-6208D21AA282}">
          <x14:formula1>
            <xm:f>Correcties!$A$27:$A$38</xm:f>
          </x14:formula1>
          <xm:sqref>C13</xm:sqref>
        </x14:dataValidation>
        <x14:dataValidation type="list" allowBlank="1" showInputMessage="1" showErrorMessage="1" xr:uid="{B94A4F80-0736-4792-AA72-0996C6ABAB49}">
          <x14:formula1>
            <xm:f>Colofon!$B$34:$B$39</xm:f>
          </x14:formula1>
          <xm:sqref>C9</xm:sqref>
        </x14:dataValidation>
        <x14:dataValidation type="list" allowBlank="1" showInputMessage="1" showErrorMessage="1" xr:uid="{D32AC4BB-600D-421C-8E97-BAE703C71F11}">
          <x14:formula1>
            <xm:f>Correcties!$A$10:$A$10</xm:f>
          </x14:formula1>
          <xm:sqref>C16</xm:sqref>
        </x14:dataValidation>
        <x14:dataValidation type="list" allowBlank="1" showInputMessage="1" showErrorMessage="1" xr:uid="{EED606A9-43EF-41A7-95DA-3E132B7F3397}">
          <x14:formula1>
            <xm:f>Correcties!$A$3:$A$10</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BDD6-1F6B-4440-B8C4-6582B51ED5CC}">
  <sheetPr codeName="Sheet6"/>
  <dimension ref="A1:Q91"/>
  <sheetViews>
    <sheetView showGridLines="0" tabSelected="1" topLeftCell="H38" zoomScale="85" zoomScaleNormal="85" workbookViewId="0">
      <selection activeCell="I44" sqref="I44"/>
    </sheetView>
  </sheetViews>
  <sheetFormatPr defaultColWidth="9.26953125" defaultRowHeight="18.75" customHeight="1" x14ac:dyDescent="0.3"/>
  <cols>
    <col min="1" max="1" width="36.26953125" style="79" customWidth="1"/>
    <col min="2" max="2" width="79.26953125" style="80" customWidth="1"/>
    <col min="3" max="3" width="22.54296875" style="80" customWidth="1"/>
    <col min="4" max="4" width="19.7265625" style="79" bestFit="1" customWidth="1"/>
    <col min="5" max="5" width="91.7265625" style="80" bestFit="1" customWidth="1"/>
    <col min="6" max="6" width="33.26953125" style="79" customWidth="1"/>
    <col min="7" max="7" width="99.54296875" style="80" bestFit="1" customWidth="1"/>
    <col min="8" max="8" width="19.7265625" style="79" bestFit="1" customWidth="1"/>
    <col min="9" max="9" width="97.7265625" style="80" customWidth="1"/>
    <col min="10" max="10" width="9" style="80" bestFit="1" customWidth="1"/>
    <col min="11" max="11" width="78.7265625" style="80" customWidth="1"/>
    <col min="12" max="12" width="12.26953125" style="80" bestFit="1" customWidth="1"/>
    <col min="13" max="13" width="46.81640625" style="80" bestFit="1" customWidth="1"/>
    <col min="14" max="16384" width="9.26953125" style="80"/>
  </cols>
  <sheetData>
    <row r="1" spans="1:13" s="72" customFormat="1" ht="18.75" customHeight="1" x14ac:dyDescent="0.35">
      <c r="A1" s="214" t="s">
        <v>75</v>
      </c>
      <c r="B1" s="215"/>
      <c r="C1" s="216"/>
      <c r="D1" s="441" t="str">
        <f>+"Voorlopig correctiebedrag "&amp;Colofon!$C$29</f>
        <v>Voorlopig correctiebedrag 2025</v>
      </c>
      <c r="E1" s="442"/>
      <c r="F1" s="441" t="str">
        <f>+"Langetermijnprijs SCE "&amp;Colofon!$C$29&amp;" (t.b.v. rangschikking)"</f>
        <v>Langetermijnprijs SCE 2025 (t.b.v. rangschikking)</v>
      </c>
      <c r="G1" s="442"/>
      <c r="H1" s="441" t="str">
        <f>+"Basis- of bodemprijs SCE "&amp;Colofon!$C$29</f>
        <v>Basis- of bodemprijs SCE 2025</v>
      </c>
      <c r="I1" s="443"/>
      <c r="J1" s="441" t="str">
        <f>+"Voorlopig correctiebedrag (incl. GvO) "&amp;Colofon!$C$29</f>
        <v>Voorlopig correctiebedrag (incl. GvO) 2025</v>
      </c>
      <c r="K1" s="442"/>
      <c r="L1" s="441" t="s">
        <v>42</v>
      </c>
      <c r="M1" s="442"/>
    </row>
    <row r="2" spans="1:13" s="73" customFormat="1" ht="18.75" customHeight="1" x14ac:dyDescent="0.35">
      <c r="A2" s="217" t="s">
        <v>76</v>
      </c>
      <c r="B2" s="218" t="s">
        <v>77</v>
      </c>
      <c r="C2" s="219" t="s">
        <v>78</v>
      </c>
      <c r="D2" s="220" t="s">
        <v>79</v>
      </c>
      <c r="E2" s="221" t="s">
        <v>80</v>
      </c>
      <c r="F2" s="220" t="s">
        <v>79</v>
      </c>
      <c r="G2" s="221" t="s">
        <v>80</v>
      </c>
      <c r="H2" s="220" t="s">
        <v>79</v>
      </c>
      <c r="I2" s="222" t="s">
        <v>80</v>
      </c>
      <c r="J2" s="220" t="s">
        <v>79</v>
      </c>
      <c r="K2" s="221" t="s">
        <v>80</v>
      </c>
      <c r="L2" s="220" t="s">
        <v>57</v>
      </c>
      <c r="M2" s="221" t="s">
        <v>80</v>
      </c>
    </row>
    <row r="3" spans="1:13" s="73" customFormat="1" ht="18.75" customHeight="1" x14ac:dyDescent="0.3">
      <c r="A3" s="422" t="s">
        <v>81</v>
      </c>
      <c r="B3" s="240" t="s">
        <v>82</v>
      </c>
      <c r="C3" s="360" t="s">
        <v>21</v>
      </c>
      <c r="D3" s="363">
        <f>D43</f>
        <v>7.4706584699453807E-2</v>
      </c>
      <c r="E3" s="361" t="s">
        <v>83</v>
      </c>
      <c r="F3" s="367">
        <f>$H$44</f>
        <v>6.9937103524956398E-2</v>
      </c>
      <c r="G3" s="361" t="s">
        <v>84</v>
      </c>
      <c r="H3" s="367">
        <f>2/3*$H$44</f>
        <v>4.6624735683304261E-2</v>
      </c>
      <c r="I3" s="361" t="s">
        <v>85</v>
      </c>
      <c r="J3" s="363">
        <f>D3+L3</f>
        <v>7.4706584699453807E-2</v>
      </c>
      <c r="K3" s="361" t="s">
        <v>83</v>
      </c>
      <c r="L3" s="363"/>
      <c r="M3" s="242"/>
    </row>
    <row r="4" spans="1:13" s="74" customFormat="1" ht="18.75" customHeight="1" x14ac:dyDescent="0.3">
      <c r="A4" s="422">
        <v>1.3</v>
      </c>
      <c r="B4" s="240" t="s">
        <v>86</v>
      </c>
      <c r="C4" s="360" t="s">
        <v>21</v>
      </c>
      <c r="D4" s="364">
        <f>D44</f>
        <v>8.0220529809000005E-2</v>
      </c>
      <c r="E4" s="361" t="s">
        <v>87</v>
      </c>
      <c r="F4" s="368">
        <f>$H$44</f>
        <v>6.9937103524956398E-2</v>
      </c>
      <c r="G4" s="361" t="s">
        <v>84</v>
      </c>
      <c r="H4" s="368">
        <f>2/3*$H$44</f>
        <v>4.6624735683304261E-2</v>
      </c>
      <c r="I4" s="361" t="s">
        <v>85</v>
      </c>
      <c r="J4" s="364">
        <f>D4+L4</f>
        <v>8.0220529809000005E-2</v>
      </c>
      <c r="K4" s="361" t="s">
        <v>87</v>
      </c>
      <c r="L4" s="364"/>
      <c r="M4" s="242"/>
    </row>
    <row r="5" spans="1:13" s="74" customFormat="1" ht="18.75" customHeight="1" x14ac:dyDescent="0.3">
      <c r="A5" s="422" t="s">
        <v>88</v>
      </c>
      <c r="B5" s="240" t="s">
        <v>89</v>
      </c>
      <c r="C5" s="360" t="s">
        <v>21</v>
      </c>
      <c r="D5" s="364">
        <f>D43*D45</f>
        <v>5.9018201912568513E-2</v>
      </c>
      <c r="E5" s="361" t="s">
        <v>90</v>
      </c>
      <c r="F5" s="368">
        <f>$H$44*$H$46</f>
        <v>4.4495431007013989E-2</v>
      </c>
      <c r="G5" s="361" t="s">
        <v>91</v>
      </c>
      <c r="H5" s="368">
        <f>2/3*$H$44*$H$46</f>
        <v>2.9663620671342653E-2</v>
      </c>
      <c r="I5" s="361" t="s">
        <v>92</v>
      </c>
      <c r="J5" s="364">
        <f t="shared" ref="J5:J10" si="0">D5+L5</f>
        <v>6.3018201912568517E-2</v>
      </c>
      <c r="K5" s="361" t="s">
        <v>93</v>
      </c>
      <c r="L5" s="364">
        <f>D15</f>
        <v>4.0000000000000001E-3</v>
      </c>
      <c r="M5" s="242" t="s">
        <v>94</v>
      </c>
    </row>
    <row r="6" spans="1:13" s="74" customFormat="1" ht="18.75" customHeight="1" x14ac:dyDescent="0.3">
      <c r="A6" s="422" t="s">
        <v>95</v>
      </c>
      <c r="B6" s="240" t="s">
        <v>96</v>
      </c>
      <c r="C6" s="360" t="s">
        <v>21</v>
      </c>
      <c r="D6" s="364">
        <f>D44*D46</f>
        <v>6.5379731794334997E-2</v>
      </c>
      <c r="E6" s="361" t="s">
        <v>97</v>
      </c>
      <c r="F6" s="368">
        <f>$H$44*$H$46</f>
        <v>4.4495431007013989E-2</v>
      </c>
      <c r="G6" s="361" t="s">
        <v>91</v>
      </c>
      <c r="H6" s="368">
        <f>2/3*$H$44*$H$46</f>
        <v>2.9663620671342653E-2</v>
      </c>
      <c r="I6" s="361" t="s">
        <v>92</v>
      </c>
      <c r="J6" s="364">
        <f t="shared" si="0"/>
        <v>6.9379731794335001E-2</v>
      </c>
      <c r="K6" s="361" t="s">
        <v>98</v>
      </c>
      <c r="L6" s="364">
        <f>D16</f>
        <v>4.0000000000000001E-3</v>
      </c>
      <c r="M6" s="242" t="s">
        <v>94</v>
      </c>
    </row>
    <row r="7" spans="1:13" s="74" customFormat="1" ht="18.75" customHeight="1" x14ac:dyDescent="0.3">
      <c r="A7" s="422" t="s">
        <v>99</v>
      </c>
      <c r="B7" s="240" t="s">
        <v>100</v>
      </c>
      <c r="C7" s="360" t="s">
        <v>21</v>
      </c>
      <c r="D7" s="364">
        <f>D43*D47</f>
        <v>4.2582753278688663E-2</v>
      </c>
      <c r="E7" s="361" t="s">
        <v>101</v>
      </c>
      <c r="F7" s="368">
        <f>$H$44*$H$48</f>
        <v>5.1891864505415129E-2</v>
      </c>
      <c r="G7" s="361" t="s">
        <v>102</v>
      </c>
      <c r="H7" s="368">
        <f>2/3*$H$44*$H$48</f>
        <v>3.4594576336943413E-2</v>
      </c>
      <c r="I7" s="361" t="s">
        <v>103</v>
      </c>
      <c r="J7" s="364">
        <f t="shared" si="0"/>
        <v>4.658275327868866E-2</v>
      </c>
      <c r="K7" s="361" t="s">
        <v>104</v>
      </c>
      <c r="L7" s="364">
        <f>D15</f>
        <v>4.0000000000000001E-3</v>
      </c>
      <c r="M7" s="242" t="s">
        <v>94</v>
      </c>
    </row>
    <row r="8" spans="1:13" s="74" customFormat="1" ht="18.75" customHeight="1" x14ac:dyDescent="0.3">
      <c r="A8" s="422">
        <v>6.3</v>
      </c>
      <c r="B8" s="240" t="s">
        <v>105</v>
      </c>
      <c r="C8" s="360" t="s">
        <v>21</v>
      </c>
      <c r="D8" s="364">
        <f>D44*D48</f>
        <v>5.3346652322985008E-2</v>
      </c>
      <c r="E8" s="361" t="s">
        <v>106</v>
      </c>
      <c r="F8" s="368">
        <f>$H$44*$H$48</f>
        <v>5.1891864505415129E-2</v>
      </c>
      <c r="G8" s="361" t="s">
        <v>102</v>
      </c>
      <c r="H8" s="368">
        <f>2/3*$H$44*$H$48</f>
        <v>3.4594576336943413E-2</v>
      </c>
      <c r="I8" s="361" t="s">
        <v>103</v>
      </c>
      <c r="J8" s="364">
        <f t="shared" si="0"/>
        <v>5.7346652322985012E-2</v>
      </c>
      <c r="K8" s="361" t="s">
        <v>107</v>
      </c>
      <c r="L8" s="364">
        <f>D16</f>
        <v>4.0000000000000001E-3</v>
      </c>
      <c r="M8" s="242" t="s">
        <v>94</v>
      </c>
    </row>
    <row r="9" spans="1:13" s="74" customFormat="1" ht="18.75" customHeight="1" x14ac:dyDescent="0.3">
      <c r="A9" s="422" t="s">
        <v>108</v>
      </c>
      <c r="B9" s="240" t="s">
        <v>109</v>
      </c>
      <c r="C9" s="360" t="s">
        <v>21</v>
      </c>
      <c r="D9" s="364">
        <f>D43*D48+D55+D53</f>
        <v>0.10660987882513678</v>
      </c>
      <c r="E9" s="361" t="s">
        <v>110</v>
      </c>
      <c r="F9" s="368">
        <f>$H$44*$H$48+$D$55+$H$53</f>
        <v>0.10882186450541513</v>
      </c>
      <c r="G9" s="361" t="s">
        <v>111</v>
      </c>
      <c r="H9" s="368">
        <f>2/3*$H$44*$H$48+$D$55+$H$53</f>
        <v>9.1524576336943414E-2</v>
      </c>
      <c r="I9" s="361" t="s">
        <v>112</v>
      </c>
      <c r="J9" s="364">
        <f t="shared" si="0"/>
        <v>0.10660987882513678</v>
      </c>
      <c r="K9" s="361" t="s">
        <v>110</v>
      </c>
      <c r="L9" s="364"/>
      <c r="M9" s="242"/>
    </row>
    <row r="10" spans="1:13" s="74" customFormat="1" ht="18.75" customHeight="1" x14ac:dyDescent="0.3">
      <c r="A10" s="422" t="s">
        <v>113</v>
      </c>
      <c r="B10" s="240" t="s">
        <v>114</v>
      </c>
      <c r="C10" s="360" t="s">
        <v>21</v>
      </c>
      <c r="D10" s="364">
        <f>D44*D48+D55+D53</f>
        <v>0.11027665232298502</v>
      </c>
      <c r="E10" s="361" t="s">
        <v>115</v>
      </c>
      <c r="F10" s="368">
        <f>$H$44*$H$48+$D$55+$H$53</f>
        <v>0.10882186450541513</v>
      </c>
      <c r="G10" s="361" t="s">
        <v>111</v>
      </c>
      <c r="H10" s="368">
        <f>2/3*$H$44*$H$48+$D$55+$H$53</f>
        <v>9.1524576336943414E-2</v>
      </c>
      <c r="I10" s="361" t="s">
        <v>112</v>
      </c>
      <c r="J10" s="364">
        <f t="shared" si="0"/>
        <v>0.11027665232298502</v>
      </c>
      <c r="K10" s="361" t="s">
        <v>115</v>
      </c>
      <c r="L10" s="364"/>
      <c r="M10" s="242"/>
    </row>
    <row r="11" spans="1:13" s="74" customFormat="1" ht="18.75" customHeight="1" thickBot="1" x14ac:dyDescent="0.35">
      <c r="A11" s="423">
        <v>8.3000000000000007</v>
      </c>
      <c r="B11" s="248" t="s">
        <v>116</v>
      </c>
      <c r="C11" s="362" t="s">
        <v>21</v>
      </c>
      <c r="D11" s="365">
        <f>D44*D48+D55</f>
        <v>9.2776652322985015E-2</v>
      </c>
      <c r="E11" s="366" t="s">
        <v>117</v>
      </c>
      <c r="F11" s="369">
        <f>$H$44*$H$48+$D$55</f>
        <v>9.1321864505415129E-2</v>
      </c>
      <c r="G11" s="366" t="s">
        <v>118</v>
      </c>
      <c r="H11" s="369">
        <f>2/3*$H$44*$H$48+$D$55</f>
        <v>7.4024576336943412E-2</v>
      </c>
      <c r="I11" s="366" t="s">
        <v>119</v>
      </c>
      <c r="J11" s="365">
        <f>D11+L11</f>
        <v>9.2776652322985015E-2</v>
      </c>
      <c r="K11" s="366" t="s">
        <v>117</v>
      </c>
      <c r="L11" s="365"/>
      <c r="M11" s="339"/>
    </row>
    <row r="12" spans="1:13" s="74" customFormat="1" ht="18.75" customHeight="1" thickBot="1" x14ac:dyDescent="0.35">
      <c r="A12" s="75"/>
      <c r="D12" s="76"/>
      <c r="E12" s="77"/>
      <c r="F12" s="76"/>
      <c r="G12" s="77"/>
      <c r="H12" s="78"/>
      <c r="I12" s="77"/>
    </row>
    <row r="13" spans="1:13" s="74" customFormat="1" ht="18.75" customHeight="1" x14ac:dyDescent="0.35">
      <c r="A13" s="214" t="s">
        <v>120</v>
      </c>
      <c r="B13" s="223"/>
      <c r="C13" s="216"/>
      <c r="D13" s="216" t="s">
        <v>121</v>
      </c>
      <c r="E13" s="224"/>
      <c r="F13" s="444" t="str">
        <f>+"Langetermijnprijs SCE "&amp;Colofon!$C$29&amp;" (t.b.v. rangschikking)"</f>
        <v>Langetermijnprijs SCE 2025 (t.b.v. rangschikking)</v>
      </c>
      <c r="G13" s="443"/>
    </row>
    <row r="14" spans="1:13" s="74" customFormat="1" ht="18.75" customHeight="1" x14ac:dyDescent="0.35">
      <c r="A14" s="217" t="s">
        <v>76</v>
      </c>
      <c r="B14" s="218" t="s">
        <v>77</v>
      </c>
      <c r="C14" s="225" t="s">
        <v>122</v>
      </c>
      <c r="D14" s="218" t="s">
        <v>79</v>
      </c>
      <c r="E14" s="226" t="s">
        <v>123</v>
      </c>
      <c r="F14" s="220" t="s">
        <v>79</v>
      </c>
      <c r="G14" s="222" t="s">
        <v>80</v>
      </c>
    </row>
    <row r="15" spans="1:13" s="74" customFormat="1" ht="18.75" customHeight="1" x14ac:dyDescent="0.3">
      <c r="A15" s="422">
        <v>4.3</v>
      </c>
      <c r="B15" s="240" t="s">
        <v>124</v>
      </c>
      <c r="C15" s="244" t="s">
        <v>125</v>
      </c>
      <c r="D15" s="337">
        <f>$D$63</f>
        <v>4.0000000000000001E-3</v>
      </c>
      <c r="E15" s="241" t="s">
        <v>94</v>
      </c>
      <c r="F15" s="337">
        <f>$D$63</f>
        <v>4.0000000000000001E-3</v>
      </c>
      <c r="G15" s="245" t="s">
        <v>126</v>
      </c>
    </row>
    <row r="16" spans="1:13" s="74" customFormat="1" ht="18.75" customHeight="1" thickBot="1" x14ac:dyDescent="0.35">
      <c r="A16" s="423">
        <v>6.3</v>
      </c>
      <c r="B16" s="248" t="s">
        <v>127</v>
      </c>
      <c r="C16" s="340" t="s">
        <v>125</v>
      </c>
      <c r="D16" s="338">
        <f>$D$63</f>
        <v>4.0000000000000001E-3</v>
      </c>
      <c r="E16" s="341" t="s">
        <v>94</v>
      </c>
      <c r="F16" s="338">
        <f>$D$63</f>
        <v>4.0000000000000001E-3</v>
      </c>
      <c r="G16" s="252" t="s">
        <v>126</v>
      </c>
    </row>
    <row r="17" spans="1:17" ht="18.75" customHeight="1" thickBot="1" x14ac:dyDescent="0.35"/>
    <row r="18" spans="1:17" s="74" customFormat="1" ht="18.75" customHeight="1" x14ac:dyDescent="0.35">
      <c r="A18" s="214" t="s">
        <v>128</v>
      </c>
      <c r="B18" s="223"/>
      <c r="C18" s="216"/>
      <c r="D18" s="216" t="s">
        <v>121</v>
      </c>
      <c r="E18" s="224"/>
      <c r="F18" s="444" t="str">
        <f>+"Langetermijnprijs SCE "&amp;Colofon!$C$29&amp;" (t.b.v. rangschikking)"</f>
        <v>Langetermijnprijs SCE 2025 (t.b.v. rangschikking)</v>
      </c>
      <c r="G18" s="443"/>
    </row>
    <row r="19" spans="1:17" s="74" customFormat="1" ht="18.75" customHeight="1" x14ac:dyDescent="0.35">
      <c r="A19" s="217" t="s">
        <v>76</v>
      </c>
      <c r="B19" s="218" t="s">
        <v>77</v>
      </c>
      <c r="C19" s="225" t="s">
        <v>122</v>
      </c>
      <c r="D19" s="218" t="s">
        <v>79</v>
      </c>
      <c r="E19" s="226" t="s">
        <v>123</v>
      </c>
      <c r="F19" s="220" t="s">
        <v>79</v>
      </c>
      <c r="G19" s="222" t="s">
        <v>80</v>
      </c>
    </row>
    <row r="20" spans="1:17" s="74" customFormat="1" ht="18.75" customHeight="1" x14ac:dyDescent="0.3">
      <c r="A20" s="239">
        <v>36</v>
      </c>
      <c r="B20" s="240" t="s">
        <v>129</v>
      </c>
      <c r="C20" s="246" t="s">
        <v>130</v>
      </c>
      <c r="D20" s="337">
        <f>$D$64</f>
        <v>6.1699999999999998E-2</v>
      </c>
      <c r="E20" s="250" t="s">
        <v>130</v>
      </c>
      <c r="F20" s="337">
        <f>$D$64</f>
        <v>6.1699999999999998E-2</v>
      </c>
      <c r="G20" s="245" t="s">
        <v>126</v>
      </c>
    </row>
    <row r="21" spans="1:17" s="74" customFormat="1" ht="18.75" customHeight="1" x14ac:dyDescent="0.3">
      <c r="A21" s="239">
        <v>37</v>
      </c>
      <c r="B21" s="240" t="s">
        <v>131</v>
      </c>
      <c r="C21" s="246" t="s">
        <v>130</v>
      </c>
      <c r="D21" s="337">
        <f>$D$64</f>
        <v>6.1699999999999998E-2</v>
      </c>
      <c r="E21" s="250" t="s">
        <v>130</v>
      </c>
      <c r="F21" s="337">
        <f>$D$64</f>
        <v>6.1699999999999998E-2</v>
      </c>
      <c r="G21" s="245" t="s">
        <v>126</v>
      </c>
    </row>
    <row r="22" spans="1:17" s="74" customFormat="1" ht="18.75" customHeight="1" x14ac:dyDescent="0.3">
      <c r="A22" s="239">
        <v>40</v>
      </c>
      <c r="B22" s="240" t="s">
        <v>132</v>
      </c>
      <c r="C22" s="246" t="s">
        <v>130</v>
      </c>
      <c r="D22" s="337">
        <f>$D$64</f>
        <v>6.1699999999999998E-2</v>
      </c>
      <c r="E22" s="250" t="s">
        <v>130</v>
      </c>
      <c r="F22" s="337">
        <f>$D$64</f>
        <v>6.1699999999999998E-2</v>
      </c>
      <c r="G22" s="245" t="s">
        <v>126</v>
      </c>
    </row>
    <row r="23" spans="1:17" s="74" customFormat="1" ht="18.75" customHeight="1" thickBot="1" x14ac:dyDescent="0.35">
      <c r="A23" s="247">
        <v>42</v>
      </c>
      <c r="B23" s="248" t="s">
        <v>133</v>
      </c>
      <c r="C23" s="249" t="s">
        <v>130</v>
      </c>
      <c r="D23" s="338">
        <f>$D$64</f>
        <v>6.1699999999999998E-2</v>
      </c>
      <c r="E23" s="251" t="s">
        <v>130</v>
      </c>
      <c r="F23" s="338">
        <f>$D$64</f>
        <v>6.1699999999999998E-2</v>
      </c>
      <c r="G23" s="252" t="s">
        <v>126</v>
      </c>
    </row>
    <row r="24" spans="1:17" s="74" customFormat="1" ht="18.75" customHeight="1" thickBot="1" x14ac:dyDescent="0.35">
      <c r="A24" s="81"/>
      <c r="B24" s="82"/>
      <c r="C24" s="81"/>
      <c r="D24" s="83"/>
      <c r="E24" s="84"/>
      <c r="F24" s="83"/>
      <c r="I24" s="77"/>
    </row>
    <row r="25" spans="1:17" s="74" customFormat="1" ht="18.75" customHeight="1" x14ac:dyDescent="0.35">
      <c r="A25" s="214" t="s">
        <v>134</v>
      </c>
      <c r="B25" s="223"/>
      <c r="C25" s="216"/>
      <c r="D25" s="216" t="s">
        <v>121</v>
      </c>
      <c r="E25" s="224"/>
      <c r="F25" s="441" t="str">
        <f>+"Langetermijnprijs SCE "&amp;Colofon!$C$29&amp;" (t.b.v. rangschikking)"</f>
        <v>Langetermijnprijs SCE 2025 (t.b.v. rangschikking)</v>
      </c>
      <c r="G25" s="443"/>
    </row>
    <row r="26" spans="1:17" s="74" customFormat="1" ht="18.75" customHeight="1" x14ac:dyDescent="0.35">
      <c r="A26" s="217" t="s">
        <v>135</v>
      </c>
      <c r="B26" s="218" t="s">
        <v>77</v>
      </c>
      <c r="C26" s="225" t="s">
        <v>136</v>
      </c>
      <c r="D26" s="218" t="s">
        <v>79</v>
      </c>
      <c r="E26" s="226" t="s">
        <v>123</v>
      </c>
      <c r="F26" s="220" t="s">
        <v>79</v>
      </c>
      <c r="G26" s="222" t="s">
        <v>80</v>
      </c>
    </row>
    <row r="27" spans="1:17" s="74" customFormat="1" ht="18.75" customHeight="1" x14ac:dyDescent="0.3">
      <c r="A27" s="239">
        <v>0</v>
      </c>
      <c r="B27" s="240" t="s">
        <v>137</v>
      </c>
      <c r="C27" s="246"/>
      <c r="D27" s="262">
        <v>0</v>
      </c>
      <c r="E27" s="250">
        <v>0</v>
      </c>
      <c r="F27" s="262">
        <v>0</v>
      </c>
      <c r="G27" s="253">
        <v>0</v>
      </c>
      <c r="Q27" s="77"/>
    </row>
    <row r="28" spans="1:17" s="74" customFormat="1" ht="18.75" customHeight="1" x14ac:dyDescent="0.4">
      <c r="A28" s="239">
        <v>1</v>
      </c>
      <c r="B28" s="240" t="s">
        <v>138</v>
      </c>
      <c r="C28" s="246" t="s">
        <v>139</v>
      </c>
      <c r="D28" s="262">
        <f>D52</f>
        <v>68.775000000000006</v>
      </c>
      <c r="E28" s="250" t="s">
        <v>140</v>
      </c>
      <c r="F28" s="262">
        <f>H52</f>
        <v>125.9254062019143</v>
      </c>
      <c r="G28" s="253" t="s">
        <v>141</v>
      </c>
      <c r="Q28" s="77"/>
    </row>
    <row r="29" spans="1:17" s="74" customFormat="1" ht="18.75" customHeight="1" x14ac:dyDescent="0.4">
      <c r="A29" s="239">
        <v>2</v>
      </c>
      <c r="B29" s="240" t="s">
        <v>142</v>
      </c>
      <c r="C29" s="246" t="s">
        <v>143</v>
      </c>
      <c r="D29" s="262">
        <f>D69</f>
        <v>1.5460620000000001E-2</v>
      </c>
      <c r="E29" s="250" t="s">
        <v>144</v>
      </c>
      <c r="F29" s="262">
        <f>H69</f>
        <v>2.8308031314190334E-2</v>
      </c>
      <c r="G29" s="253" t="s">
        <v>145</v>
      </c>
      <c r="Q29" s="77"/>
    </row>
    <row r="30" spans="1:17" s="74" customFormat="1" ht="18.75" customHeight="1" x14ac:dyDescent="0.4">
      <c r="A30" s="239">
        <v>4</v>
      </c>
      <c r="B30" s="240" t="s">
        <v>146</v>
      </c>
      <c r="C30" s="246" t="s">
        <v>147</v>
      </c>
      <c r="D30" s="262">
        <f>D75*3.6/1000*D65/1000*D52*(1-D73)</f>
        <v>4.8422661840000006E-2</v>
      </c>
      <c r="E30" s="250" t="s">
        <v>148</v>
      </c>
      <c r="F30" s="262">
        <f>H75*3.6/1000*D65/1000*H52*(1-H73)</f>
        <v>8.8660754076044138E-2</v>
      </c>
      <c r="G30" s="253" t="s">
        <v>149</v>
      </c>
      <c r="Q30" s="77"/>
    </row>
    <row r="31" spans="1:17" s="74" customFormat="1" ht="18.75" customHeight="1" x14ac:dyDescent="0.4">
      <c r="A31" s="239">
        <v>5</v>
      </c>
      <c r="B31" s="240" t="s">
        <v>150</v>
      </c>
      <c r="C31" s="246" t="s">
        <v>143</v>
      </c>
      <c r="D31" s="262">
        <f>D69*D70</f>
        <v>4.6381859999999999E-3</v>
      </c>
      <c r="E31" s="250" t="s">
        <v>151</v>
      </c>
      <c r="F31" s="262">
        <f>H69*H70</f>
        <v>8.4924093942571003E-3</v>
      </c>
      <c r="G31" s="253" t="s">
        <v>152</v>
      </c>
      <c r="Q31" s="77"/>
    </row>
    <row r="32" spans="1:17" s="74" customFormat="1" ht="18.75" customHeight="1" x14ac:dyDescent="0.4">
      <c r="A32" s="239">
        <v>6</v>
      </c>
      <c r="B32" s="240" t="s">
        <v>153</v>
      </c>
      <c r="C32" s="246" t="s">
        <v>143</v>
      </c>
      <c r="D32" s="243" t="s">
        <v>154</v>
      </c>
      <c r="E32" s="250" t="s">
        <v>155</v>
      </c>
      <c r="F32" s="243" t="s">
        <v>154</v>
      </c>
      <c r="G32" s="253" t="s">
        <v>156</v>
      </c>
      <c r="Q32" s="77"/>
    </row>
    <row r="33" spans="1:17" s="74" customFormat="1" ht="18.75" customHeight="1" x14ac:dyDescent="0.4">
      <c r="A33" s="239">
        <v>7</v>
      </c>
      <c r="B33" s="240" t="s">
        <v>157</v>
      </c>
      <c r="C33" s="246" t="s">
        <v>143</v>
      </c>
      <c r="D33" s="243" t="s">
        <v>154</v>
      </c>
      <c r="E33" s="250" t="s">
        <v>158</v>
      </c>
      <c r="F33" s="243" t="s">
        <v>154</v>
      </c>
      <c r="G33" s="253" t="s">
        <v>159</v>
      </c>
      <c r="Q33" s="77"/>
    </row>
    <row r="34" spans="1:17" s="74" customFormat="1" ht="18.75" customHeight="1" x14ac:dyDescent="0.4">
      <c r="A34" s="239">
        <v>8</v>
      </c>
      <c r="B34" s="240" t="s">
        <v>160</v>
      </c>
      <c r="C34" s="246" t="s">
        <v>143</v>
      </c>
      <c r="D34" s="262">
        <f>D69*D71</f>
        <v>1.5460620000000002E-3</v>
      </c>
      <c r="E34" s="250" t="s">
        <v>161</v>
      </c>
      <c r="F34" s="262">
        <f>H69*H71</f>
        <v>2.8308031314190334E-3</v>
      </c>
      <c r="G34" s="253" t="s">
        <v>162</v>
      </c>
      <c r="Q34" s="77"/>
    </row>
    <row r="35" spans="1:17" s="74" customFormat="1" ht="18.75" customHeight="1" x14ac:dyDescent="0.4">
      <c r="A35" s="239">
        <v>9</v>
      </c>
      <c r="B35" s="240" t="s">
        <v>163</v>
      </c>
      <c r="C35" s="246" t="s">
        <v>143</v>
      </c>
      <c r="D35" s="243" t="s">
        <v>154</v>
      </c>
      <c r="E35" s="250" t="s">
        <v>164</v>
      </c>
      <c r="F35" s="243" t="s">
        <v>154</v>
      </c>
      <c r="G35" s="253" t="s">
        <v>165</v>
      </c>
      <c r="Q35" s="77"/>
    </row>
    <row r="36" spans="1:17" s="74" customFormat="1" ht="18.75" customHeight="1" x14ac:dyDescent="0.4">
      <c r="A36" s="239">
        <v>10</v>
      </c>
      <c r="B36" s="240" t="s">
        <v>166</v>
      </c>
      <c r="C36" s="246" t="s">
        <v>143</v>
      </c>
      <c r="D36" s="262">
        <f>D69*D72*(1-D70)</f>
        <v>5.4112170000000003E-3</v>
      </c>
      <c r="E36" s="250" t="s">
        <v>167</v>
      </c>
      <c r="F36" s="262">
        <f>H69*H72*(1-H70)</f>
        <v>9.9078109599666161E-3</v>
      </c>
      <c r="G36" s="253" t="s">
        <v>168</v>
      </c>
      <c r="Q36" s="77"/>
    </row>
    <row r="37" spans="1:17" s="74" customFormat="1" ht="18.75" customHeight="1" x14ac:dyDescent="0.3">
      <c r="A37" s="422">
        <v>11</v>
      </c>
      <c r="B37" s="240" t="s">
        <v>169</v>
      </c>
      <c r="C37" s="246" t="s">
        <v>170</v>
      </c>
      <c r="D37" s="262">
        <f>D52*D76/1000</f>
        <v>1.5749475000000002E-2</v>
      </c>
      <c r="E37" s="250" t="s">
        <v>171</v>
      </c>
      <c r="F37" s="262">
        <f>H52*H76/1000</f>
        <v>2.8836918020238377E-2</v>
      </c>
      <c r="G37" s="253" t="s">
        <v>172</v>
      </c>
      <c r="Q37" s="77"/>
    </row>
    <row r="38" spans="1:17" s="74" customFormat="1" ht="18.75" customHeight="1" x14ac:dyDescent="0.3">
      <c r="A38" s="422" t="s">
        <v>173</v>
      </c>
      <c r="B38" s="240" t="s">
        <v>174</v>
      </c>
      <c r="C38" s="246" t="s">
        <v>170</v>
      </c>
      <c r="D38" s="262">
        <f>(D52*D76/1000)*(1-D51)</f>
        <v>1.0079664000000002E-2</v>
      </c>
      <c r="E38" s="250" t="s">
        <v>175</v>
      </c>
      <c r="F38" s="262">
        <f>(H52*H76/1000)*(1-D51)</f>
        <v>1.8455627532952563E-2</v>
      </c>
      <c r="G38" s="250" t="s">
        <v>176</v>
      </c>
      <c r="Q38" s="77"/>
    </row>
    <row r="39" spans="1:17" s="74" customFormat="1" ht="18.75" customHeight="1" thickBot="1" x14ac:dyDescent="0.35">
      <c r="A39" s="423" t="s">
        <v>177</v>
      </c>
      <c r="B39" s="248" t="s">
        <v>178</v>
      </c>
      <c r="C39" s="249" t="s">
        <v>179</v>
      </c>
      <c r="D39" s="263">
        <f>D52*D51</f>
        <v>24.759</v>
      </c>
      <c r="E39" s="251" t="s">
        <v>180</v>
      </c>
      <c r="F39" s="263">
        <f>F28*H51</f>
        <v>45.333146232689145</v>
      </c>
      <c r="G39" s="254" t="s">
        <v>181</v>
      </c>
      <c r="Q39" s="77"/>
    </row>
    <row r="40" spans="1:17" s="74" customFormat="1" ht="17.5" customHeight="1" thickBot="1" x14ac:dyDescent="0.35">
      <c r="A40" s="75"/>
      <c r="D40" s="76"/>
      <c r="E40" s="77"/>
      <c r="F40" s="78"/>
      <c r="G40" s="77"/>
      <c r="H40" s="76"/>
      <c r="I40" s="77"/>
    </row>
    <row r="41" spans="1:17" s="74" customFormat="1" ht="18.75" customHeight="1" x14ac:dyDescent="0.35">
      <c r="A41" s="227" t="s">
        <v>182</v>
      </c>
      <c r="B41" s="228"/>
      <c r="C41" s="215"/>
      <c r="D41" s="229"/>
      <c r="E41" s="224"/>
      <c r="F41" s="230"/>
      <c r="G41" s="231"/>
      <c r="H41" s="229"/>
      <c r="I41" s="232"/>
    </row>
    <row r="42" spans="1:17" s="74" customFormat="1" ht="18.75" customHeight="1" x14ac:dyDescent="0.3">
      <c r="A42" s="233" t="s">
        <v>35</v>
      </c>
      <c r="B42" s="234" t="s">
        <v>77</v>
      </c>
      <c r="C42" s="235" t="s">
        <v>136</v>
      </c>
      <c r="D42" s="235" t="s">
        <v>183</v>
      </c>
      <c r="E42" s="236" t="s">
        <v>184</v>
      </c>
      <c r="F42" s="237" t="s">
        <v>35</v>
      </c>
      <c r="G42" s="234" t="s">
        <v>77</v>
      </c>
      <c r="H42" s="234" t="s">
        <v>185</v>
      </c>
      <c r="I42" s="238" t="s">
        <v>184</v>
      </c>
    </row>
    <row r="43" spans="1:17" s="74" customFormat="1" ht="18.75" customHeight="1" x14ac:dyDescent="0.3">
      <c r="A43" s="255" t="s">
        <v>83</v>
      </c>
      <c r="B43" s="240" t="s">
        <v>186</v>
      </c>
      <c r="C43" s="246" t="s">
        <v>187</v>
      </c>
      <c r="D43" s="276">
        <v>7.4706584699453807E-2</v>
      </c>
      <c r="E43" s="260" t="s">
        <v>188</v>
      </c>
      <c r="F43" s="241"/>
      <c r="G43" s="240"/>
      <c r="H43" s="276"/>
      <c r="I43" s="253"/>
    </row>
    <row r="44" spans="1:17" s="74" customFormat="1" ht="18.75" customHeight="1" x14ac:dyDescent="0.3">
      <c r="A44" s="255" t="s">
        <v>87</v>
      </c>
      <c r="B44" s="241" t="s">
        <v>189</v>
      </c>
      <c r="C44" s="246" t="s">
        <v>187</v>
      </c>
      <c r="D44" s="276">
        <v>8.0220529809000005E-2</v>
      </c>
      <c r="E44" s="260" t="s">
        <v>527</v>
      </c>
      <c r="F44" s="241" t="s">
        <v>84</v>
      </c>
      <c r="G44" s="240" t="s">
        <v>190</v>
      </c>
      <c r="H44" s="276">
        <v>6.9937103524956398E-2</v>
      </c>
      <c r="I44" s="253" t="s">
        <v>528</v>
      </c>
    </row>
    <row r="45" spans="1:17" s="74" customFormat="1" ht="18.75" customHeight="1" x14ac:dyDescent="0.3">
      <c r="A45" s="255" t="s">
        <v>191</v>
      </c>
      <c r="B45" s="241" t="s">
        <v>192</v>
      </c>
      <c r="C45" s="246"/>
      <c r="D45" s="276">
        <v>0.79</v>
      </c>
      <c r="E45" s="260" t="str">
        <f>"Gemiddelde 1-1-"&amp;Colofon!$C$29-2&amp;" t/m 31-12-"&amp;Colofon!$C$29-2</f>
        <v>Gemiddelde 1-1-2023 t/m 31-12-2023</v>
      </c>
      <c r="F45" s="241"/>
      <c r="G45" s="240"/>
      <c r="H45" s="276"/>
      <c r="I45" s="253"/>
    </row>
    <row r="46" spans="1:17" s="74" customFormat="1" ht="18.75" customHeight="1" x14ac:dyDescent="0.3">
      <c r="A46" s="255" t="s">
        <v>193</v>
      </c>
      <c r="B46" s="241" t="s">
        <v>194</v>
      </c>
      <c r="C46" s="256"/>
      <c r="D46" s="277">
        <v>0.81499999999999995</v>
      </c>
      <c r="E46" s="260" t="str">
        <f>"Gemiddelde 1-1-"&amp;Colofon!$C$29-2&amp;" t/m 31-12-"&amp;Colofon!$C$29-2</f>
        <v>Gemiddelde 1-1-2023 t/m 31-12-2023</v>
      </c>
      <c r="F46" s="241" t="s">
        <v>195</v>
      </c>
      <c r="G46" s="241" t="s">
        <v>196</v>
      </c>
      <c r="H46" s="277">
        <v>0.63622067206624033</v>
      </c>
      <c r="I46" s="253" t="str">
        <f>"Gemiddelde "&amp;Colofon!$C$29&amp;"-"&amp;Colofon!$C$29+14&amp;" (KEV"&amp;Colofon!$C$29-1&amp;")"</f>
        <v>Gemiddelde 2025-2039 (KEV2024)</v>
      </c>
    </row>
    <row r="47" spans="1:17" s="74" customFormat="1" ht="18.75" customHeight="1" x14ac:dyDescent="0.3">
      <c r="A47" s="255" t="s">
        <v>197</v>
      </c>
      <c r="B47" s="241" t="s">
        <v>198</v>
      </c>
      <c r="C47" s="256"/>
      <c r="D47" s="277">
        <v>0.56999999999999995</v>
      </c>
      <c r="E47" s="260" t="str">
        <f>"Gemiddelde 1-1-"&amp;Colofon!$C$29-2&amp;" t/m 31-12-"&amp;Colofon!$C$29-2</f>
        <v>Gemiddelde 1-1-2023 t/m 31-12-2023</v>
      </c>
      <c r="F47" s="241"/>
      <c r="G47" s="241"/>
      <c r="H47" s="277"/>
      <c r="I47" s="253"/>
    </row>
    <row r="48" spans="1:17" s="74" customFormat="1" ht="18.75" customHeight="1" x14ac:dyDescent="0.3">
      <c r="A48" s="255" t="s">
        <v>199</v>
      </c>
      <c r="B48" s="241" t="s">
        <v>200</v>
      </c>
      <c r="C48" s="256"/>
      <c r="D48" s="277">
        <v>0.66500000000000004</v>
      </c>
      <c r="E48" s="260" t="str">
        <f>"Gemiddelde 1-1-"&amp;Colofon!$C$29-2&amp;" t/m 31-12-"&amp;Colofon!$C$29-2</f>
        <v>Gemiddelde 1-1-2023 t/m 31-12-2023</v>
      </c>
      <c r="F48" s="241" t="s">
        <v>201</v>
      </c>
      <c r="G48" s="241" t="s">
        <v>202</v>
      </c>
      <c r="H48" s="277">
        <v>0.74197903387431541</v>
      </c>
      <c r="I48" s="253" t="str">
        <f>"Gemiddelde "&amp;Colofon!$C$29&amp;"-"&amp;Colofon!$C$29+14&amp;" (KEV"&amp;Colofon!$C$29-1&amp;")"</f>
        <v>Gemiddelde 2025-2039 (KEV2024)</v>
      </c>
    </row>
    <row r="49" spans="1:9" s="74" customFormat="1" ht="18.75" customHeight="1" x14ac:dyDescent="0.4">
      <c r="A49" s="255" t="s">
        <v>203</v>
      </c>
      <c r="B49" s="241" t="s">
        <v>204</v>
      </c>
      <c r="C49" s="246" t="s">
        <v>205</v>
      </c>
      <c r="D49" s="278">
        <v>3.7825670999999998E-2</v>
      </c>
      <c r="E49" s="260" t="str">
        <f>"Gemiddelde TTF (Cal"&amp;Colofon!$C$29&amp;") periode 1-9-"&amp;Colofon!$C$29-2&amp;" t/m 31-8-"&amp;Colofon!$C$29-"1"</f>
        <v>Gemiddelde TTF (Cal2025) periode 1-9-2023 t/m 31-8-2024</v>
      </c>
      <c r="F49" s="241" t="s">
        <v>206</v>
      </c>
      <c r="G49" s="240" t="s">
        <v>207</v>
      </c>
      <c r="H49" s="276">
        <v>2.4780048422009694E-2</v>
      </c>
      <c r="I49" s="253" t="str">
        <f>"Gemiddelde reële prijzen gas "&amp;Colofon!$C$29&amp;"-"&amp;Colofon!$C$29+14&amp;" (KEV"&amp;Colofon!$C$29-1&amp;")"</f>
        <v>Gemiddelde reële prijzen gas 2025-2039 (KEV2024)</v>
      </c>
    </row>
    <row r="50" spans="1:9" s="74" customFormat="1" ht="18.75" customHeight="1" x14ac:dyDescent="0.4">
      <c r="A50" s="255" t="s">
        <v>208</v>
      </c>
      <c r="B50" s="241" t="s">
        <v>209</v>
      </c>
      <c r="C50" s="246" t="s">
        <v>210</v>
      </c>
      <c r="D50" s="264">
        <f>D49*35.17/31.65</f>
        <v>4.2032507079620855E-2</v>
      </c>
      <c r="E50" s="260" t="str">
        <f>"Gemiddelde TTF (Cal"&amp;Colofon!$C$29&amp;") periode 1-9-"&amp;Colofon!$C$29-2&amp;" t/m 31-8-"&amp;Colofon!$C$29-"1"</f>
        <v>Gemiddelde TTF (Cal2025) periode 1-9-2023 t/m 31-8-2024</v>
      </c>
      <c r="F50" s="241" t="s">
        <v>211</v>
      </c>
      <c r="G50" s="240" t="s">
        <v>212</v>
      </c>
      <c r="H50" s="264">
        <f>H49*35.17/31.65</f>
        <v>2.7535996935294821E-2</v>
      </c>
      <c r="I50" s="253" t="str">
        <f>"Gemiddelde reële prijzen gas "&amp;Colofon!$C$29&amp;"-"&amp;Colofon!$C$29+14&amp;" (KEV"&amp;Colofon!$C$29-1&amp;")"</f>
        <v>Gemiddelde reële prijzen gas 2025-2039 (KEV2024)</v>
      </c>
    </row>
    <row r="51" spans="1:9" s="74" customFormat="1" ht="18.75" customHeight="1" x14ac:dyDescent="0.3">
      <c r="A51" s="255" t="s">
        <v>213</v>
      </c>
      <c r="B51" s="241" t="s">
        <v>214</v>
      </c>
      <c r="C51" s="246"/>
      <c r="D51" s="265">
        <v>0.36</v>
      </c>
      <c r="E51" s="260" t="s">
        <v>215</v>
      </c>
      <c r="F51" s="241" t="s">
        <v>213</v>
      </c>
      <c r="G51" s="260" t="s">
        <v>215</v>
      </c>
      <c r="H51" s="268">
        <f t="shared" ref="H51" si="1">D51</f>
        <v>0.36</v>
      </c>
      <c r="I51" s="245" t="s">
        <v>126</v>
      </c>
    </row>
    <row r="52" spans="1:9" s="74" customFormat="1" ht="18.75" customHeight="1" x14ac:dyDescent="0.4">
      <c r="A52" s="255" t="s">
        <v>140</v>
      </c>
      <c r="B52" s="241" t="s">
        <v>216</v>
      </c>
      <c r="C52" s="246" t="s">
        <v>217</v>
      </c>
      <c r="D52" s="276">
        <v>68.775000000000006</v>
      </c>
      <c r="E52" s="260" t="str">
        <f>"Gemiddelde EUA-prijs 1-9-"&amp;Colofon!$C$29-2&amp;" t/m 31-8-"&amp;Colofon!$C$29-1</f>
        <v>Gemiddelde EUA-prijs 1-9-2023 t/m 31-8-2024</v>
      </c>
      <c r="F52" s="241" t="s">
        <v>141</v>
      </c>
      <c r="G52" s="241" t="s">
        <v>218</v>
      </c>
      <c r="H52" s="276">
        <v>125.9254062019143</v>
      </c>
      <c r="I52" s="253" t="str">
        <f>"Gemiddelde reële EUA-prijs "&amp;Colofon!$C$29&amp;"-"&amp;Colofon!$C$29+14&amp;" (KEV"&amp;Colofon!$C$29-1&amp;")"</f>
        <v>Gemiddelde reële EUA-prijs 2025-2039 (KEV2024)</v>
      </c>
    </row>
    <row r="53" spans="1:9" s="74" customFormat="1" ht="18.75" customHeight="1" x14ac:dyDescent="0.3">
      <c r="A53" s="255" t="s">
        <v>219</v>
      </c>
      <c r="B53" s="241" t="s">
        <v>220</v>
      </c>
      <c r="C53" s="246" t="s">
        <v>187</v>
      </c>
      <c r="D53" s="276">
        <v>1.7500000000000002E-2</v>
      </c>
      <c r="E53" s="260" t="str">
        <f>"Gemiddelde van gepubliceerde tarieven netbeheerders "&amp;Colofon!$C$29-1</f>
        <v>Gemiddelde van gepubliceerde tarieven netbeheerders 2024</v>
      </c>
      <c r="F53" s="241" t="s">
        <v>219</v>
      </c>
      <c r="G53" s="241" t="s">
        <v>221</v>
      </c>
      <c r="H53" s="269">
        <f>D53</f>
        <v>1.7500000000000002E-2</v>
      </c>
      <c r="I53" s="245" t="s">
        <v>126</v>
      </c>
    </row>
    <row r="54" spans="1:9" s="74" customFormat="1" ht="18.75" customHeight="1" x14ac:dyDescent="0.3">
      <c r="A54" s="255" t="s">
        <v>222</v>
      </c>
      <c r="B54" s="241" t="s">
        <v>223</v>
      </c>
      <c r="C54" s="256"/>
      <c r="D54" s="274"/>
      <c r="E54" s="260" t="s">
        <v>224</v>
      </c>
      <c r="F54" s="241" t="s">
        <v>222</v>
      </c>
      <c r="G54" s="241" t="s">
        <v>223</v>
      </c>
      <c r="H54" s="275"/>
      <c r="I54" s="253" t="s">
        <v>225</v>
      </c>
    </row>
    <row r="55" spans="1:9" s="74" customFormat="1" ht="18.75" customHeight="1" x14ac:dyDescent="0.3">
      <c r="A55" s="255" t="s">
        <v>226</v>
      </c>
      <c r="B55" s="241" t="s">
        <v>227</v>
      </c>
      <c r="C55" s="257" t="s">
        <v>187</v>
      </c>
      <c r="D55" s="279">
        <v>3.943E-2</v>
      </c>
      <c r="E55" s="260" t="str">
        <f>"Tarief "&amp;Colofon!$C$29-1</f>
        <v>Tarief 2024</v>
      </c>
      <c r="F55" s="241" t="s">
        <v>226</v>
      </c>
      <c r="G55" s="241" t="s">
        <v>227</v>
      </c>
      <c r="H55" s="269">
        <f>D55</f>
        <v>3.943E-2</v>
      </c>
      <c r="I55" s="245" t="s">
        <v>126</v>
      </c>
    </row>
    <row r="56" spans="1:9" s="74" customFormat="1" ht="18.75" customHeight="1" x14ac:dyDescent="0.3">
      <c r="A56" s="255" t="s">
        <v>228</v>
      </c>
      <c r="B56" s="241" t="s">
        <v>229</v>
      </c>
      <c r="C56" s="257" t="s">
        <v>210</v>
      </c>
      <c r="D56" s="279">
        <v>6.63139336492891E-2</v>
      </c>
      <c r="E56" s="260" t="str">
        <f>"Tarief "&amp;Colofon!$C$29-1</f>
        <v>Tarief 2024</v>
      </c>
      <c r="F56" s="241" t="s">
        <v>228</v>
      </c>
      <c r="G56" s="241" t="s">
        <v>229</v>
      </c>
      <c r="H56" s="269">
        <f t="shared" ref="H56:H58" si="2">D56</f>
        <v>6.63139336492891E-2</v>
      </c>
      <c r="I56" s="245" t="s">
        <v>126</v>
      </c>
    </row>
    <row r="57" spans="1:9" s="74" customFormat="1" ht="18.75" customHeight="1" x14ac:dyDescent="0.3">
      <c r="A57" s="255" t="s">
        <v>230</v>
      </c>
      <c r="B57" s="241" t="s">
        <v>231</v>
      </c>
      <c r="C57" s="257" t="s">
        <v>210</v>
      </c>
      <c r="D57" s="279">
        <v>2.54536492890995E-2</v>
      </c>
      <c r="E57" s="260" t="str">
        <f>"Tarief "&amp;Colofon!$C$29-1</f>
        <v>Tarief 2024</v>
      </c>
      <c r="F57" s="241" t="s">
        <v>230</v>
      </c>
      <c r="G57" s="241" t="s">
        <v>231</v>
      </c>
      <c r="H57" s="269">
        <f t="shared" si="2"/>
        <v>2.54536492890995E-2</v>
      </c>
      <c r="I57" s="245" t="s">
        <v>126</v>
      </c>
    </row>
    <row r="58" spans="1:9" s="74" customFormat="1" ht="18.75" customHeight="1" x14ac:dyDescent="0.3">
      <c r="A58" s="255" t="s">
        <v>232</v>
      </c>
      <c r="B58" s="241" t="s">
        <v>233</v>
      </c>
      <c r="C58" s="257" t="s">
        <v>210</v>
      </c>
      <c r="D58" s="279">
        <v>1.4621800947867299E-2</v>
      </c>
      <c r="E58" s="260" t="str">
        <f>"Tarief "&amp;Colofon!$C$29-1</f>
        <v>Tarief 2024</v>
      </c>
      <c r="F58" s="241" t="s">
        <v>232</v>
      </c>
      <c r="G58" s="241" t="s">
        <v>233</v>
      </c>
      <c r="H58" s="269">
        <f t="shared" si="2"/>
        <v>1.4621800947867299E-2</v>
      </c>
      <c r="I58" s="245" t="s">
        <v>126</v>
      </c>
    </row>
    <row r="59" spans="1:9" s="74" customFormat="1" ht="18.75" customHeight="1" x14ac:dyDescent="0.4">
      <c r="A59" s="255" t="s">
        <v>234</v>
      </c>
      <c r="B59" s="241" t="s">
        <v>235</v>
      </c>
      <c r="C59" s="246" t="s">
        <v>210</v>
      </c>
      <c r="D59" s="278">
        <v>9.5399999999999999E-2</v>
      </c>
      <c r="E59" s="260" t="str">
        <f>"Gemiddelde 1-9-"&amp;Colofon!$C$29-2&amp;" t/m 31-8-"&amp;Colofon!$C$29-1&amp;" (CBS)"</f>
        <v>Gemiddelde 1-9-2023 t/m 31-8-2024 (CBS)</v>
      </c>
      <c r="F59" s="241" t="s">
        <v>236</v>
      </c>
      <c r="G59" s="241" t="s">
        <v>237</v>
      </c>
      <c r="H59" s="278">
        <v>9.1137210355639375E-2</v>
      </c>
      <c r="I59" s="253" t="str">
        <f>"Gemiddelde "&amp;Colofon!$C$29&amp;"-"&amp;Colofon!$C$29+14&amp;" (KEV"&amp;Colofon!$C$29-1&amp;")"</f>
        <v>Gemiddelde 2025-2039 (KEV2024)</v>
      </c>
    </row>
    <row r="60" spans="1:9" s="74" customFormat="1" ht="18.75" customHeight="1" x14ac:dyDescent="0.4">
      <c r="A60" s="255" t="s">
        <v>238</v>
      </c>
      <c r="B60" s="241" t="s">
        <v>239</v>
      </c>
      <c r="C60" s="246" t="s">
        <v>210</v>
      </c>
      <c r="D60" s="278">
        <v>9.3700000000000006E-2</v>
      </c>
      <c r="E60" s="260" t="str">
        <f>"Gemiddelde 1-9-"&amp;Colofon!$C$29-2&amp;" t/m 31-8-"&amp;Colofon!$C$29-1&amp;" (CBS)"</f>
        <v>Gemiddelde 1-9-2023 t/m 31-8-2024 (CBS)</v>
      </c>
      <c r="F60" s="241" t="s">
        <v>240</v>
      </c>
      <c r="G60" s="241" t="s">
        <v>241</v>
      </c>
      <c r="H60" s="278">
        <v>8.5838626403969928E-2</v>
      </c>
      <c r="I60" s="253" t="str">
        <f>"Gemiddelde "&amp;Colofon!$C$29&amp;"-"&amp;Colofon!$C$29+14&amp;" (KEV"&amp;Colofon!$C$29-1&amp;")"</f>
        <v>Gemiddelde 2025-2039 (KEV2024)</v>
      </c>
    </row>
    <row r="61" spans="1:9" s="74" customFormat="1" ht="18.75" customHeight="1" x14ac:dyDescent="0.4">
      <c r="A61" s="255" t="s">
        <v>242</v>
      </c>
      <c r="B61" s="241" t="s">
        <v>243</v>
      </c>
      <c r="C61" s="246" t="s">
        <v>244</v>
      </c>
      <c r="D61" s="266">
        <f>$D$65/0.93/1000*3.6</f>
        <v>0.21754838709677421</v>
      </c>
      <c r="E61" s="260" t="s">
        <v>245</v>
      </c>
      <c r="F61" s="241"/>
      <c r="G61" s="250"/>
      <c r="H61" s="250"/>
      <c r="I61" s="253"/>
    </row>
    <row r="62" spans="1:9" s="74" customFormat="1" ht="18.75" customHeight="1" x14ac:dyDescent="0.4">
      <c r="A62" s="255" t="s">
        <v>246</v>
      </c>
      <c r="B62" s="241" t="s">
        <v>247</v>
      </c>
      <c r="C62" s="246" t="s">
        <v>248</v>
      </c>
      <c r="D62" s="266">
        <f>$D$65/0.93/1000*3.6/0.375</f>
        <v>0.58012903225806456</v>
      </c>
      <c r="E62" s="260" t="s">
        <v>249</v>
      </c>
      <c r="F62" s="241"/>
      <c r="G62" s="250"/>
      <c r="H62" s="250"/>
      <c r="I62" s="253"/>
    </row>
    <row r="63" spans="1:9" s="74" customFormat="1" ht="18.75" customHeight="1" x14ac:dyDescent="0.4">
      <c r="A63" s="258" t="s">
        <v>94</v>
      </c>
      <c r="B63" s="250" t="s">
        <v>250</v>
      </c>
      <c r="C63" s="246" t="s">
        <v>251</v>
      </c>
      <c r="D63" s="276">
        <v>4.0000000000000001E-3</v>
      </c>
      <c r="E63" s="260" t="str">
        <f>+"Marktinformatie "&amp;Colofon!$C$29-2</f>
        <v>Marktinformatie 2023</v>
      </c>
      <c r="F63" s="250" t="s">
        <v>94</v>
      </c>
      <c r="G63" s="250" t="s">
        <v>250</v>
      </c>
      <c r="H63" s="269">
        <f t="shared" ref="H63" si="3">D63</f>
        <v>4.0000000000000001E-3</v>
      </c>
      <c r="I63" s="245" t="s">
        <v>126</v>
      </c>
    </row>
    <row r="64" spans="1:9" s="74" customFormat="1" ht="18.75" customHeight="1" x14ac:dyDescent="0.4">
      <c r="A64" s="258" t="s">
        <v>252</v>
      </c>
      <c r="B64" s="250" t="s">
        <v>253</v>
      </c>
      <c r="C64" s="246" t="s">
        <v>210</v>
      </c>
      <c r="D64" s="280">
        <v>6.1699999999999998E-2</v>
      </c>
      <c r="E64" s="260" t="str">
        <f>"Gemiddelde midprijzen HBE "&amp;RIGHT(Colofon!$C$29,2)&amp;" A, periode 1-9-"&amp;Colofon!$C$29-2&amp;" t/m 31-8-"&amp;Colofon!$C$29-1&amp;" (Olyx)"</f>
        <v>Gemiddelde midprijzen HBE 25 A, periode 1-9-2023 t/m 31-8-2024 (Olyx)</v>
      </c>
      <c r="F64" s="250" t="s">
        <v>130</v>
      </c>
      <c r="G64" s="250" t="s">
        <v>253</v>
      </c>
      <c r="H64" s="269">
        <f t="shared" ref="H64" si="4">D64</f>
        <v>6.1699999999999998E-2</v>
      </c>
      <c r="I64" s="245" t="s">
        <v>126</v>
      </c>
    </row>
    <row r="65" spans="1:9" s="74" customFormat="1" ht="18.75" customHeight="1" x14ac:dyDescent="0.4">
      <c r="A65" s="258" t="s">
        <v>254</v>
      </c>
      <c r="B65" s="250" t="s">
        <v>255</v>
      </c>
      <c r="C65" s="246" t="s">
        <v>256</v>
      </c>
      <c r="D65" s="280">
        <v>56.2</v>
      </c>
      <c r="E65" s="260" t="s">
        <v>257</v>
      </c>
      <c r="F65" s="241"/>
      <c r="G65" s="250"/>
      <c r="H65" s="250"/>
      <c r="I65" s="253"/>
    </row>
    <row r="66" spans="1:9" s="74" customFormat="1" ht="18.75" customHeight="1" x14ac:dyDescent="0.4">
      <c r="A66" s="258" t="s">
        <v>258</v>
      </c>
      <c r="B66" s="250" t="s">
        <v>259</v>
      </c>
      <c r="C66" s="246" t="s">
        <v>217</v>
      </c>
      <c r="D66" s="281">
        <v>15</v>
      </c>
      <c r="E66" s="260" t="str">
        <f>+"Marktinformatie 2021"</f>
        <v>Marktinformatie 2021</v>
      </c>
      <c r="F66" s="250" t="s">
        <v>258</v>
      </c>
      <c r="G66" s="250" t="s">
        <v>259</v>
      </c>
      <c r="H66" s="270">
        <f t="shared" ref="H66" si="5">D66</f>
        <v>15</v>
      </c>
      <c r="I66" s="245" t="s">
        <v>126</v>
      </c>
    </row>
    <row r="67" spans="1:9" s="74" customFormat="1" ht="18.75" customHeight="1" x14ac:dyDescent="0.4">
      <c r="A67" s="258" t="s">
        <v>260</v>
      </c>
      <c r="B67" s="250" t="s">
        <v>261</v>
      </c>
      <c r="C67" s="246" t="s">
        <v>217</v>
      </c>
      <c r="D67" s="281">
        <v>12</v>
      </c>
      <c r="E67" s="260" t="s">
        <v>262</v>
      </c>
      <c r="F67" s="250" t="s">
        <v>263</v>
      </c>
      <c r="G67" s="250" t="s">
        <v>264</v>
      </c>
      <c r="H67" s="281">
        <v>15</v>
      </c>
      <c r="I67" s="253" t="s">
        <v>265</v>
      </c>
    </row>
    <row r="68" spans="1:9" s="74" customFormat="1" ht="18.75" customHeight="1" x14ac:dyDescent="0.3">
      <c r="A68" s="258" t="s">
        <v>266</v>
      </c>
      <c r="B68" s="250" t="s">
        <v>267</v>
      </c>
      <c r="C68" s="246"/>
      <c r="D68" s="282">
        <v>0.9</v>
      </c>
      <c r="E68" s="260"/>
      <c r="F68" s="250" t="s">
        <v>266</v>
      </c>
      <c r="G68" s="250" t="s">
        <v>267</v>
      </c>
      <c r="H68" s="271">
        <v>0.9</v>
      </c>
      <c r="I68" s="245" t="s">
        <v>126</v>
      </c>
    </row>
    <row r="69" spans="1:9" s="74" customFormat="1" ht="18.75" customHeight="1" x14ac:dyDescent="0.4">
      <c r="A69" s="258" t="s">
        <v>144</v>
      </c>
      <c r="B69" s="250" t="s">
        <v>268</v>
      </c>
      <c r="C69" s="246" t="s">
        <v>269</v>
      </c>
      <c r="D69" s="267">
        <f>D52/1000*D65*0.0036/D68</f>
        <v>1.5460620000000001E-2</v>
      </c>
      <c r="E69" s="260"/>
      <c r="F69" s="250" t="s">
        <v>145</v>
      </c>
      <c r="G69" s="250" t="s">
        <v>268</v>
      </c>
      <c r="H69" s="267">
        <f>H52/1000*D65*0.0036/H68</f>
        <v>2.8308031314190334E-2</v>
      </c>
      <c r="I69" s="253"/>
    </row>
    <row r="70" spans="1:9" s="74" customFormat="1" ht="18.75" customHeight="1" x14ac:dyDescent="0.3">
      <c r="A70" s="258" t="s">
        <v>270</v>
      </c>
      <c r="B70" s="250" t="s">
        <v>271</v>
      </c>
      <c r="C70" s="246"/>
      <c r="D70" s="282">
        <v>0.3</v>
      </c>
      <c r="E70" s="260"/>
      <c r="F70" s="250" t="s">
        <v>270</v>
      </c>
      <c r="G70" s="250" t="s">
        <v>271</v>
      </c>
      <c r="H70" s="271">
        <f>D70</f>
        <v>0.3</v>
      </c>
      <c r="I70" s="245" t="s">
        <v>126</v>
      </c>
    </row>
    <row r="71" spans="1:9" s="74" customFormat="1" ht="18.75" customHeight="1" x14ac:dyDescent="0.3">
      <c r="A71" s="258" t="s">
        <v>272</v>
      </c>
      <c r="B71" s="250" t="s">
        <v>273</v>
      </c>
      <c r="C71" s="246"/>
      <c r="D71" s="282">
        <v>0.1</v>
      </c>
      <c r="E71" s="260"/>
      <c r="F71" s="250" t="s">
        <v>272</v>
      </c>
      <c r="G71" s="250" t="s">
        <v>273</v>
      </c>
      <c r="H71" s="271">
        <f>D71</f>
        <v>0.1</v>
      </c>
      <c r="I71" s="245" t="s">
        <v>126</v>
      </c>
    </row>
    <row r="72" spans="1:9" s="74" customFormat="1" ht="18.75" customHeight="1" x14ac:dyDescent="0.3">
      <c r="A72" s="258" t="s">
        <v>274</v>
      </c>
      <c r="B72" s="250" t="s">
        <v>275</v>
      </c>
      <c r="C72" s="246"/>
      <c r="D72" s="282">
        <v>0.5</v>
      </c>
      <c r="E72" s="260"/>
      <c r="F72" s="250" t="s">
        <v>274</v>
      </c>
      <c r="G72" s="250" t="s">
        <v>275</v>
      </c>
      <c r="H72" s="271">
        <f>D72</f>
        <v>0.5</v>
      </c>
      <c r="I72" s="245" t="s">
        <v>126</v>
      </c>
    </row>
    <row r="73" spans="1:9" s="74" customFormat="1" ht="18.75" customHeight="1" x14ac:dyDescent="0.3">
      <c r="A73" s="258" t="s">
        <v>276</v>
      </c>
      <c r="B73" s="250" t="s">
        <v>277</v>
      </c>
      <c r="C73" s="246"/>
      <c r="D73" s="282">
        <v>0</v>
      </c>
      <c r="E73" s="260"/>
      <c r="F73" s="250" t="s">
        <v>276</v>
      </c>
      <c r="G73" s="250" t="s">
        <v>277</v>
      </c>
      <c r="H73" s="271">
        <f>D73</f>
        <v>0</v>
      </c>
      <c r="I73" s="245" t="s">
        <v>126</v>
      </c>
    </row>
    <row r="74" spans="1:9" s="74" customFormat="1" ht="18.75" customHeight="1" x14ac:dyDescent="0.3">
      <c r="A74" s="258" t="s">
        <v>278</v>
      </c>
      <c r="B74" s="250" t="s">
        <v>279</v>
      </c>
      <c r="C74" s="256"/>
      <c r="D74" s="274"/>
      <c r="E74" s="260" t="s">
        <v>224</v>
      </c>
      <c r="F74" s="250" t="s">
        <v>278</v>
      </c>
      <c r="G74" s="250" t="s">
        <v>279</v>
      </c>
      <c r="H74" s="274"/>
      <c r="I74" s="253" t="s">
        <v>224</v>
      </c>
    </row>
    <row r="75" spans="1:9" s="74" customFormat="1" ht="18.75" customHeight="1" x14ac:dyDescent="0.4">
      <c r="A75" s="258" t="s">
        <v>280</v>
      </c>
      <c r="B75" s="250" t="s">
        <v>281</v>
      </c>
      <c r="C75" s="246" t="s">
        <v>282</v>
      </c>
      <c r="D75" s="281">
        <v>3.48</v>
      </c>
      <c r="E75" s="260" t="s">
        <v>283</v>
      </c>
      <c r="F75" s="250" t="s">
        <v>280</v>
      </c>
      <c r="G75" s="250" t="s">
        <v>281</v>
      </c>
      <c r="H75" s="272">
        <f>D75</f>
        <v>3.48</v>
      </c>
      <c r="I75" s="245" t="s">
        <v>126</v>
      </c>
    </row>
    <row r="76" spans="1:9" s="74" customFormat="1" ht="18.75" customHeight="1" thickBot="1" x14ac:dyDescent="0.45">
      <c r="A76" s="259" t="s">
        <v>284</v>
      </c>
      <c r="B76" s="251" t="s">
        <v>285</v>
      </c>
      <c r="C76" s="249" t="s">
        <v>286</v>
      </c>
      <c r="D76" s="283">
        <v>0.22900000000000001</v>
      </c>
      <c r="E76" s="261" t="s">
        <v>287</v>
      </c>
      <c r="F76" s="251" t="s">
        <v>284</v>
      </c>
      <c r="G76" s="251" t="s">
        <v>285</v>
      </c>
      <c r="H76" s="273">
        <f>D76</f>
        <v>0.22900000000000001</v>
      </c>
      <c r="I76" s="252" t="s">
        <v>126</v>
      </c>
    </row>
    <row r="77" spans="1:9" ht="18.75" customHeight="1" x14ac:dyDescent="0.3">
      <c r="A77" s="85">
        <v>1</v>
      </c>
      <c r="B77" s="86" t="s">
        <v>288</v>
      </c>
      <c r="C77" s="86"/>
      <c r="D77" s="86"/>
      <c r="E77" s="86"/>
      <c r="F77" s="86"/>
      <c r="G77" s="86"/>
      <c r="H77" s="86"/>
      <c r="I77" s="86"/>
    </row>
    <row r="78" spans="1:9" ht="18.75" customHeight="1" x14ac:dyDescent="0.3">
      <c r="A78" s="85">
        <v>2</v>
      </c>
      <c r="B78" s="80" t="s">
        <v>289</v>
      </c>
    </row>
    <row r="79" spans="1:9" ht="18.75" customHeight="1" x14ac:dyDescent="0.3">
      <c r="A79" s="85">
        <v>3</v>
      </c>
      <c r="B79" s="80" t="s">
        <v>290</v>
      </c>
      <c r="D79" s="87"/>
    </row>
    <row r="80" spans="1:9" ht="18.75" customHeight="1" x14ac:dyDescent="0.3">
      <c r="A80" s="85">
        <v>4</v>
      </c>
      <c r="B80" s="80" t="s">
        <v>291</v>
      </c>
    </row>
    <row r="81" spans="1:5" ht="18.75" customHeight="1" x14ac:dyDescent="0.3">
      <c r="A81" s="85">
        <v>5</v>
      </c>
      <c r="B81" s="80" t="s">
        <v>292</v>
      </c>
    </row>
    <row r="82" spans="1:5" ht="18.75" customHeight="1" x14ac:dyDescent="0.3">
      <c r="A82" s="85">
        <v>6</v>
      </c>
      <c r="B82" s="80" t="s">
        <v>293</v>
      </c>
      <c r="C82" s="86"/>
      <c r="D82" s="86"/>
      <c r="E82" s="86"/>
    </row>
    <row r="83" spans="1:5" ht="18.75" customHeight="1" x14ac:dyDescent="0.3">
      <c r="A83" s="85">
        <v>7</v>
      </c>
      <c r="B83" s="80" t="s">
        <v>294</v>
      </c>
      <c r="C83" s="86"/>
      <c r="D83" s="86"/>
      <c r="E83" s="86"/>
    </row>
    <row r="84" spans="1:5" ht="18.75" customHeight="1" x14ac:dyDescent="0.3">
      <c r="A84" s="85">
        <v>8</v>
      </c>
      <c r="B84" s="80" t="s">
        <v>295</v>
      </c>
      <c r="C84" s="86"/>
      <c r="D84" s="86"/>
      <c r="E84" s="86"/>
    </row>
    <row r="85" spans="1:5" ht="18.75" customHeight="1" x14ac:dyDescent="0.3">
      <c r="A85" s="85">
        <v>9</v>
      </c>
      <c r="B85" s="80" t="s">
        <v>296</v>
      </c>
      <c r="C85" s="86"/>
      <c r="D85" s="86"/>
      <c r="E85" s="86"/>
    </row>
    <row r="86" spans="1:5" ht="18.75" customHeight="1" x14ac:dyDescent="0.3">
      <c r="A86" s="85">
        <v>10</v>
      </c>
      <c r="B86" s="80" t="s">
        <v>297</v>
      </c>
      <c r="C86" s="86"/>
      <c r="D86" s="86"/>
      <c r="E86" s="86"/>
    </row>
    <row r="87" spans="1:5" ht="18.75" customHeight="1" x14ac:dyDescent="0.3">
      <c r="C87" s="86"/>
      <c r="D87" s="86"/>
      <c r="E87" s="86"/>
    </row>
    <row r="88" spans="1:5" ht="18.75" customHeight="1" x14ac:dyDescent="0.3">
      <c r="C88" s="86"/>
      <c r="D88" s="86"/>
      <c r="E88" s="86"/>
    </row>
    <row r="89" spans="1:5" ht="18.75" customHeight="1" x14ac:dyDescent="0.3">
      <c r="C89" s="86"/>
      <c r="D89" s="86"/>
      <c r="E89" s="86"/>
    </row>
    <row r="90" spans="1:5" ht="18.75" customHeight="1" x14ac:dyDescent="0.3">
      <c r="C90" s="86"/>
      <c r="D90" s="86"/>
      <c r="E90" s="86"/>
    </row>
    <row r="91" spans="1:5" ht="18.75" customHeight="1" x14ac:dyDescent="0.3">
      <c r="C91" s="86"/>
      <c r="D91" s="86"/>
      <c r="E91" s="86"/>
    </row>
  </sheetData>
  <mergeCells count="8">
    <mergeCell ref="D1:E1"/>
    <mergeCell ref="F25:G25"/>
    <mergeCell ref="F18:G18"/>
    <mergeCell ref="J1:K1"/>
    <mergeCell ref="L1:M1"/>
    <mergeCell ref="F13:G13"/>
    <mergeCell ref="H1:I1"/>
    <mergeCell ref="F1:G1"/>
  </mergeCells>
  <phoneticPr fontId="9" type="noConversion"/>
  <pageMargins left="0.7" right="0.7" top="0.75" bottom="0.75" header="0.3" footer="0.3"/>
  <pageSetup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6437-4D57-4A11-875B-B6CFC18B16E5}">
  <sheetPr codeName="Sheet92">
    <tabColor theme="7" tint="0.79998168889431442"/>
    <pageSetUpPr fitToPage="1"/>
  </sheetPr>
  <dimension ref="A1:AR199"/>
  <sheetViews>
    <sheetView showGridLines="0" zoomScaleNormal="100" workbookViewId="0">
      <selection activeCell="D2" sqref="D2"/>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298</v>
      </c>
      <c r="C2" s="32"/>
      <c r="D2" s="32"/>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0.12659999999999999</v>
      </c>
      <c r="D5" s="98" t="str">
        <f>CONCATENATE("Euro/",$C$7)</f>
        <v>Euro/kWh</v>
      </c>
      <c r="E5" s="447" t="s">
        <v>300</v>
      </c>
      <c r="F5" s="447"/>
      <c r="G5" s="447"/>
      <c r="H5" s="447"/>
      <c r="I5" s="447"/>
      <c r="J5" s="447"/>
      <c r="K5" s="447"/>
      <c r="L5" s="447"/>
      <c r="M5" s="448"/>
    </row>
    <row r="6" spans="1:44" ht="13" x14ac:dyDescent="0.3">
      <c r="B6" s="96" t="s">
        <v>301</v>
      </c>
      <c r="C6" s="135">
        <f>(ROUND(C5,4)-(ROUND(C173,4)+ROUND(C178,4)+ROUND(C172,4)))/ROUND(C70,4)*1000</f>
        <v>1470.8333333333333</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
        <v>308</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162"/>
      <c r="D12" s="105" t="str">
        <f>_xlfn.XLOOKUP(C12,Correcties!A4:A11,Correcties!B4:B11,"")</f>
        <v/>
      </c>
      <c r="E12" s="449">
        <f>IFERROR(INDEX(Correcties!$A$1:$I$301,MATCH('1'!C12,Correcties!$A$1:$A$301,0),5),"")</f>
        <v>0</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421" t="s">
        <v>99</v>
      </c>
      <c r="D15" s="99" t="str">
        <f>_xlfn.XLOOKUP(C15,Correcties!A4:A11,Correcties!B4:B11,"")</f>
        <v>Elektriciteit-ZonPV-netlevering (negatieve uren meegenomen)</v>
      </c>
      <c r="E15" s="447" t="str">
        <f>"Enkel relevant voor zon-pv. "&amp;_xlfn.XLOOKUP(C15,Correcties!A4:A11,Correcties!E4:E11,"")</f>
        <v>Enkel relevant voor zon-pv. EPEX1 x PIF_PV1</v>
      </c>
      <c r="F15" s="447"/>
      <c r="G15" s="447"/>
      <c r="H15" s="447"/>
      <c r="I15" s="447"/>
      <c r="J15" s="447"/>
      <c r="K15" s="447"/>
      <c r="L15" s="447"/>
      <c r="M15" s="448"/>
    </row>
    <row r="16" spans="1:44" x14ac:dyDescent="0.25">
      <c r="B16" s="96" t="s">
        <v>319</v>
      </c>
      <c r="C16" s="421" t="s">
        <v>108</v>
      </c>
      <c r="D16" s="99" t="str">
        <f>_xlfn.XLOOKUP(C16,Correcties!A4:A11,Correcties!B4:B11,"")</f>
        <v>Elektricteit-ZonPV-niet-netlevering, klein (negatieve uren meegenomen)</v>
      </c>
      <c r="E16" s="447" t="str">
        <f>"Enkel relevant voor zon-pv. "&amp;_xlfn.XLOOKUP(C16,Correcties!A4:A11,Correcties!E4:E11,"")</f>
        <v>Enkel relevant voor zon-pv. EPEX1 x PIF_PV + EB3_e + ODE3_e + transport</v>
      </c>
      <c r="F16" s="447"/>
      <c r="G16" s="447"/>
      <c r="H16" s="447"/>
      <c r="I16" s="447"/>
      <c r="J16" s="447"/>
      <c r="K16" s="447"/>
      <c r="L16" s="447"/>
      <c r="M16" s="448"/>
    </row>
    <row r="17" spans="2:13" x14ac:dyDescent="0.25">
      <c r="B17" s="96" t="s">
        <v>320</v>
      </c>
      <c r="C17" s="163"/>
      <c r="D17" s="99"/>
      <c r="E17" s="447" t="s">
        <v>321</v>
      </c>
      <c r="F17" s="447"/>
      <c r="G17" s="447"/>
      <c r="H17" s="447"/>
      <c r="I17" s="447"/>
      <c r="J17" s="447"/>
      <c r="K17" s="447"/>
      <c r="L17" s="447"/>
      <c r="M17" s="448"/>
    </row>
    <row r="18" spans="2:13" x14ac:dyDescent="0.25">
      <c r="B18" s="97" t="s">
        <v>322</v>
      </c>
      <c r="C18" s="164"/>
      <c r="D18" s="107"/>
      <c r="E18" s="451" t="s">
        <v>323</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60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IF(C23="JA",IF(C24&lt;&gt;"",C21*C180/C176/C24,0),0)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IF(C23="JA",IF(C26=0,,C26*C180/C177),0)</f>
        <v>0</v>
      </c>
      <c r="D27" s="99" t="s">
        <v>333</v>
      </c>
      <c r="E27" s="447"/>
      <c r="F27" s="447"/>
      <c r="G27" s="447"/>
      <c r="H27" s="447"/>
      <c r="I27" s="447"/>
      <c r="J27" s="447"/>
      <c r="K27" s="447"/>
      <c r="L27" s="447"/>
      <c r="M27" s="448"/>
    </row>
    <row r="28" spans="2:13" x14ac:dyDescent="0.25">
      <c r="B28" s="96" t="s">
        <v>337</v>
      </c>
      <c r="C28" s="167">
        <v>60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900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0">
        <v>665</v>
      </c>
      <c r="D39" s="99" t="str">
        <f>CONCATENATE("Euro/",$C$8)</f>
        <v>Euro/kW</v>
      </c>
      <c r="E39" s="447" t="s">
        <v>352</v>
      </c>
      <c r="F39" s="447"/>
      <c r="G39" s="447"/>
      <c r="H39" s="447"/>
      <c r="I39" s="447"/>
      <c r="J39" s="447"/>
      <c r="K39" s="447"/>
      <c r="L39" s="447"/>
      <c r="M39" s="448"/>
    </row>
    <row r="40" spans="2:13" x14ac:dyDescent="0.25">
      <c r="B40" s="109" t="s">
        <v>353</v>
      </c>
      <c r="C40" s="160"/>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4.0899999999999999E-2</v>
      </c>
      <c r="D41" s="99" t="s">
        <v>355</v>
      </c>
      <c r="E41" s="453"/>
      <c r="F41" s="447"/>
      <c r="G41" s="447"/>
      <c r="H41" s="447"/>
      <c r="I41" s="447"/>
      <c r="J41" s="447"/>
      <c r="K41" s="447"/>
      <c r="L41" s="447"/>
      <c r="M41" s="448"/>
    </row>
    <row r="42" spans="2:13" x14ac:dyDescent="0.25">
      <c r="B42" s="109" t="s">
        <v>356</v>
      </c>
      <c r="C42" s="165">
        <v>36.299999999999997</v>
      </c>
      <c r="D42" s="99" t="str">
        <f>CONCATENATE("Euro/",$C$8,"/jaar")</f>
        <v>Euro/kW/jaar</v>
      </c>
      <c r="E42" s="447" t="s">
        <v>357</v>
      </c>
      <c r="F42" s="447"/>
      <c r="G42" s="447"/>
      <c r="H42" s="447"/>
      <c r="I42" s="447"/>
      <c r="J42" s="447"/>
      <c r="K42" s="447"/>
      <c r="L42" s="447"/>
      <c r="M42" s="448"/>
    </row>
    <row r="43" spans="2:13" x14ac:dyDescent="0.25">
      <c r="B43" s="109" t="s">
        <v>358</v>
      </c>
      <c r="C43" s="165"/>
      <c r="D43" s="99" t="str">
        <f>CONCATENATE("Euro/",$C$8,"/jaar")</f>
        <v>Euro/kW/jaar</v>
      </c>
      <c r="E43" s="447" t="s">
        <v>357</v>
      </c>
      <c r="F43" s="447"/>
      <c r="G43" s="447"/>
      <c r="H43" s="447"/>
      <c r="I43" s="447"/>
      <c r="J43" s="447"/>
      <c r="K43" s="447"/>
      <c r="L43" s="447"/>
      <c r="M43" s="448"/>
    </row>
    <row r="44" spans="2:13" x14ac:dyDescent="0.25">
      <c r="B44" s="96" t="s">
        <v>359</v>
      </c>
      <c r="C44" s="141">
        <f>(C42*C21+C43*SUM(C26,C28))/1000</f>
        <v>2.1779999999999999</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2.8999999999999998E-3</v>
      </c>
      <c r="D48" s="99" t="str">
        <f>CONCATENATE("Euro/",$C$7)</f>
        <v>Euro/kWh</v>
      </c>
      <c r="E48" s="447"/>
      <c r="F48" s="447"/>
      <c r="G48" s="447"/>
      <c r="H48" s="447"/>
      <c r="I48" s="447"/>
      <c r="J48" s="447"/>
      <c r="K48" s="447"/>
      <c r="L48" s="447"/>
      <c r="M48" s="448"/>
    </row>
    <row r="49" spans="2:13" x14ac:dyDescent="0.25">
      <c r="B49" s="97" t="s">
        <v>366</v>
      </c>
      <c r="C49" s="142">
        <f>SUM(C45:C48)</f>
        <v>2.8999999999999998E-3</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IF(C52=0,,C21*MAX(C29,C30)*C180/C52/1000)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4.8000000000000001E-2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4.8000000000000001E-2</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15</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t="s">
        <v>405</v>
      </c>
      <c r="D80" s="99" t="s">
        <v>406</v>
      </c>
      <c r="E80" s="447" t="s">
        <v>407</v>
      </c>
      <c r="F80" s="447"/>
      <c r="G80" s="447"/>
      <c r="H80" s="447"/>
      <c r="I80" s="447"/>
      <c r="J80" s="447"/>
      <c r="K80" s="447"/>
      <c r="L80" s="447"/>
      <c r="M80" s="448"/>
    </row>
    <row r="81" spans="2:13" x14ac:dyDescent="0.25">
      <c r="B81" s="96" t="s">
        <v>408</v>
      </c>
      <c r="C81" s="171" t="s">
        <v>409</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810000</v>
      </c>
      <c r="D84" s="98" t="str">
        <f>C7</f>
        <v>kWh</v>
      </c>
      <c r="E84" s="447"/>
      <c r="F84" s="447"/>
      <c r="G84" s="447"/>
      <c r="H84" s="447"/>
      <c r="I84" s="447"/>
      <c r="J84" s="447"/>
      <c r="K84" s="447"/>
      <c r="L84" s="447"/>
      <c r="M84" s="448"/>
    </row>
    <row r="85" spans="2:13" x14ac:dyDescent="0.25">
      <c r="B85" s="113" t="s">
        <v>413</v>
      </c>
      <c r="C85" s="145">
        <f>IF(C77=0,SUM(E118:INDEX(E118:AR118,1,C73)),SUM(E118:INDEX(E118:AR118,1,C77)))</f>
        <v>810000</v>
      </c>
      <c r="D85" s="98" t="str">
        <f>C7</f>
        <v>kWh</v>
      </c>
      <c r="E85" s="447"/>
      <c r="F85" s="447"/>
      <c r="G85" s="447"/>
      <c r="H85" s="447"/>
      <c r="I85" s="447"/>
      <c r="J85" s="447"/>
      <c r="K85" s="447"/>
      <c r="L85" s="447"/>
      <c r="M85" s="448"/>
    </row>
    <row r="86" spans="2:13" x14ac:dyDescent="0.25">
      <c r="B86" s="114" t="s">
        <v>414</v>
      </c>
      <c r="C86" s="146">
        <f>C85/C84</f>
        <v>1</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0.05</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t="s">
        <v>79</v>
      </c>
      <c r="D100" s="103"/>
      <c r="E100" s="445" t="s">
        <v>63</v>
      </c>
      <c r="F100" s="445"/>
      <c r="G100" s="445"/>
      <c r="H100" s="445"/>
      <c r="I100" s="445"/>
      <c r="J100" s="445"/>
      <c r="K100" s="445"/>
      <c r="L100" s="445"/>
      <c r="M100" s="446"/>
    </row>
    <row r="101" spans="1:44" x14ac:dyDescent="0.25">
      <c r="B101" s="108" t="s">
        <v>79</v>
      </c>
      <c r="C101" s="173">
        <v>13</v>
      </c>
      <c r="D101" s="174">
        <v>-900</v>
      </c>
      <c r="E101" s="447" t="s">
        <v>427</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v>1000</v>
      </c>
      <c r="D103" s="99"/>
      <c r="E103" s="284" t="s">
        <v>429</v>
      </c>
      <c r="F103" s="284"/>
      <c r="G103" s="284"/>
      <c r="H103" s="284"/>
      <c r="I103" s="284"/>
      <c r="J103" s="284"/>
      <c r="K103" s="284"/>
      <c r="L103" s="284"/>
      <c r="M103" s="285"/>
    </row>
    <row r="104" spans="1:44" x14ac:dyDescent="0.25">
      <c r="B104" s="114" t="s">
        <v>430</v>
      </c>
      <c r="C104" s="50"/>
      <c r="D104" s="107"/>
      <c r="E104" s="451" t="s">
        <v>431</v>
      </c>
      <c r="F104" s="451"/>
      <c r="G104" s="451"/>
      <c r="H104" s="451"/>
      <c r="I104" s="451"/>
      <c r="J104" s="451"/>
      <c r="K104" s="451"/>
      <c r="L104" s="451"/>
      <c r="M104" s="452"/>
      <c r="N104" s="349"/>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-40900</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54000</v>
      </c>
      <c r="F115" s="379">
        <f t="shared" si="4"/>
        <v>54000</v>
      </c>
      <c r="G115" s="379">
        <f t="shared" si="4"/>
        <v>54000</v>
      </c>
      <c r="H115" s="379">
        <f t="shared" si="4"/>
        <v>54000</v>
      </c>
      <c r="I115" s="379">
        <f t="shared" si="4"/>
        <v>54000</v>
      </c>
      <c r="J115" s="379">
        <f t="shared" si="4"/>
        <v>54000</v>
      </c>
      <c r="K115" s="379">
        <f t="shared" si="4"/>
        <v>54000</v>
      </c>
      <c r="L115" s="379">
        <f t="shared" si="4"/>
        <v>54000</v>
      </c>
      <c r="M115" s="379">
        <f t="shared" si="4"/>
        <v>54000</v>
      </c>
      <c r="N115" s="379">
        <f t="shared" si="4"/>
        <v>54000</v>
      </c>
      <c r="O115" s="379">
        <f t="shared" si="4"/>
        <v>54000</v>
      </c>
      <c r="P115" s="379">
        <f t="shared" si="4"/>
        <v>54000</v>
      </c>
      <c r="Q115" s="379">
        <f t="shared" si="4"/>
        <v>54000</v>
      </c>
      <c r="R115" s="379">
        <f t="shared" si="4"/>
        <v>54000</v>
      </c>
      <c r="S115" s="379">
        <f t="shared" si="4"/>
        <v>54000</v>
      </c>
      <c r="T115" s="379">
        <f t="shared" si="4"/>
        <v>0</v>
      </c>
      <c r="U115" s="379">
        <f t="shared" si="4"/>
        <v>0</v>
      </c>
      <c r="V115" s="379">
        <f t="shared" si="4"/>
        <v>0</v>
      </c>
      <c r="W115" s="379">
        <f t="shared" si="4"/>
        <v>0</v>
      </c>
      <c r="X115" s="379">
        <f t="shared" si="4"/>
        <v>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IF(OR(E112&gt;$C$73,$C$23&lt;&gt;"JA"),0,$C$26*$C$29*$C$183/$C$182)</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54000</v>
      </c>
      <c r="F118" s="150">
        <f t="shared" ref="F118:AR118" si="7">SUM(F115:F117)</f>
        <v>54000</v>
      </c>
      <c r="G118" s="150">
        <f t="shared" si="7"/>
        <v>54000</v>
      </c>
      <c r="H118" s="150">
        <f t="shared" si="7"/>
        <v>54000</v>
      </c>
      <c r="I118" s="150">
        <f t="shared" si="7"/>
        <v>54000</v>
      </c>
      <c r="J118" s="150">
        <f t="shared" si="7"/>
        <v>54000</v>
      </c>
      <c r="K118" s="150">
        <f t="shared" si="7"/>
        <v>54000</v>
      </c>
      <c r="L118" s="150">
        <f t="shared" si="7"/>
        <v>54000</v>
      </c>
      <c r="M118" s="150">
        <f t="shared" si="7"/>
        <v>54000</v>
      </c>
      <c r="N118" s="150">
        <f t="shared" si="7"/>
        <v>54000</v>
      </c>
      <c r="O118" s="150">
        <f t="shared" si="7"/>
        <v>54000</v>
      </c>
      <c r="P118" s="150">
        <f t="shared" si="7"/>
        <v>54000</v>
      </c>
      <c r="Q118" s="150">
        <f t="shared" si="7"/>
        <v>54000</v>
      </c>
      <c r="R118" s="150">
        <f t="shared" si="7"/>
        <v>54000</v>
      </c>
      <c r="S118" s="150">
        <f t="shared" si="7"/>
        <v>54000</v>
      </c>
      <c r="T118" s="150">
        <f t="shared" si="7"/>
        <v>0</v>
      </c>
      <c r="U118" s="150">
        <f t="shared" si="7"/>
        <v>0</v>
      </c>
      <c r="V118" s="150">
        <f t="shared" si="7"/>
        <v>0</v>
      </c>
      <c r="W118" s="150">
        <f t="shared" si="7"/>
        <v>0</v>
      </c>
      <c r="X118" s="150">
        <f t="shared" si="7"/>
        <v>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-2334.6</v>
      </c>
      <c r="F120" s="379">
        <f t="shared" ref="F120:AR120" si="8">IF(F112&gt;$C$73,0,-F109*(($C$42*$C$21+$C$43*SUM($C$26,$C$28))+F118*$C$49))+IF($C$101=F112,$D$101*F109,0)+IF($C$102=F112,$D$102*F109,0)+IF($C$103=F112,$D$103*F109,0)</f>
        <v>-2381.2919999999999</v>
      </c>
      <c r="G120" s="379">
        <f t="shared" si="8"/>
        <v>-2428.9178400000001</v>
      </c>
      <c r="H120" s="379">
        <f t="shared" si="8"/>
        <v>-2477.4961967999998</v>
      </c>
      <c r="I120" s="379">
        <f t="shared" si="8"/>
        <v>-2527.0461207359999</v>
      </c>
      <c r="J120" s="379">
        <f t="shared" si="8"/>
        <v>-2577.5870431507201</v>
      </c>
      <c r="K120" s="379">
        <f t="shared" si="8"/>
        <v>-2629.1387840137345</v>
      </c>
      <c r="L120" s="379">
        <f t="shared" si="8"/>
        <v>-2681.7215596940086</v>
      </c>
      <c r="M120" s="379">
        <f t="shared" si="8"/>
        <v>-2735.3559908878888</v>
      </c>
      <c r="N120" s="379">
        <f t="shared" si="8"/>
        <v>-2790.063110705647</v>
      </c>
      <c r="O120" s="379">
        <f t="shared" si="8"/>
        <v>-2845.8643729197597</v>
      </c>
      <c r="P120" s="379">
        <f t="shared" si="8"/>
        <v>-2902.7816603781544</v>
      </c>
      <c r="Q120" s="379">
        <f t="shared" si="8"/>
        <v>-4102.2549086920089</v>
      </c>
      <c r="R120" s="379">
        <f t="shared" si="8"/>
        <v>-3020.0540394574323</v>
      </c>
      <c r="S120" s="379">
        <f t="shared" si="8"/>
        <v>-3080.4551202465814</v>
      </c>
      <c r="T120" s="379">
        <f t="shared" si="8"/>
        <v>0</v>
      </c>
      <c r="U120" s="379">
        <f t="shared" si="8"/>
        <v>0</v>
      </c>
      <c r="V120" s="379">
        <f t="shared" si="8"/>
        <v>0</v>
      </c>
      <c r="W120" s="379">
        <f t="shared" si="8"/>
        <v>0</v>
      </c>
      <c r="X120" s="379">
        <f t="shared" si="8"/>
        <v>0</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-E109*$C$54/$C$52*$C$21*MAX($C$29,$C$30)*$C$184/1000)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0</v>
      </c>
      <c r="U122" s="382">
        <f t="shared" si="10"/>
        <v>0</v>
      </c>
      <c r="V122" s="382">
        <f t="shared" si="10"/>
        <v>0</v>
      </c>
      <c r="W122" s="382">
        <f t="shared" si="10"/>
        <v>0</v>
      </c>
      <c r="X122" s="382">
        <f t="shared" si="10"/>
        <v>0</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3">
        <f t="shared" ref="E124:S124" si="12">E108</f>
        <v>0</v>
      </c>
      <c r="F124" s="383">
        <f t="shared" si="12"/>
        <v>0</v>
      </c>
      <c r="G124" s="383">
        <f t="shared" si="12"/>
        <v>0</v>
      </c>
      <c r="H124" s="383">
        <f t="shared" si="12"/>
        <v>0</v>
      </c>
      <c r="I124" s="383">
        <f t="shared" si="12"/>
        <v>0</v>
      </c>
      <c r="J124" s="383">
        <f t="shared" si="12"/>
        <v>0</v>
      </c>
      <c r="K124" s="383">
        <f t="shared" si="12"/>
        <v>0</v>
      </c>
      <c r="L124" s="383">
        <f t="shared" si="12"/>
        <v>0</v>
      </c>
      <c r="M124" s="383">
        <f t="shared" si="12"/>
        <v>0</v>
      </c>
      <c r="N124" s="383">
        <f t="shared" si="12"/>
        <v>0</v>
      </c>
      <c r="O124" s="383">
        <f t="shared" si="12"/>
        <v>0</v>
      </c>
      <c r="P124" s="383">
        <f t="shared" si="12"/>
        <v>0</v>
      </c>
      <c r="Q124" s="383">
        <f t="shared" si="12"/>
        <v>0</v>
      </c>
      <c r="R124" s="383">
        <f t="shared" si="12"/>
        <v>0</v>
      </c>
      <c r="S124" s="383">
        <f t="shared" si="12"/>
        <v>0</v>
      </c>
      <c r="T124" s="383">
        <f t="shared" ref="T124:AR124" si="13">T108</f>
        <v>0</v>
      </c>
      <c r="U124" s="383">
        <f t="shared" si="13"/>
        <v>0</v>
      </c>
      <c r="V124" s="383">
        <f t="shared" si="13"/>
        <v>0</v>
      </c>
      <c r="W124" s="383">
        <f t="shared" si="13"/>
        <v>0</v>
      </c>
      <c r="X124" s="383">
        <f t="shared" si="13"/>
        <v>0</v>
      </c>
      <c r="Y124" s="383">
        <f t="shared" si="13"/>
        <v>0</v>
      </c>
      <c r="Z124" s="383">
        <f t="shared" si="13"/>
        <v>0</v>
      </c>
      <c r="AA124" s="383">
        <f t="shared" si="13"/>
        <v>0</v>
      </c>
      <c r="AB124" s="383">
        <f t="shared" si="13"/>
        <v>0</v>
      </c>
      <c r="AC124" s="383">
        <f t="shared" si="13"/>
        <v>0</v>
      </c>
      <c r="AD124" s="383">
        <f t="shared" si="13"/>
        <v>0</v>
      </c>
      <c r="AE124" s="383">
        <f t="shared" si="13"/>
        <v>0</v>
      </c>
      <c r="AF124" s="383">
        <f t="shared" si="13"/>
        <v>0</v>
      </c>
      <c r="AG124" s="383">
        <f t="shared" si="13"/>
        <v>0</v>
      </c>
      <c r="AH124" s="383">
        <f t="shared" si="13"/>
        <v>0</v>
      </c>
      <c r="AI124" s="383">
        <f t="shared" si="13"/>
        <v>0</v>
      </c>
      <c r="AJ124" s="383">
        <f t="shared" si="13"/>
        <v>0</v>
      </c>
      <c r="AK124" s="383">
        <f t="shared" si="13"/>
        <v>0</v>
      </c>
      <c r="AL124" s="383">
        <f t="shared" si="13"/>
        <v>0</v>
      </c>
      <c r="AM124" s="383">
        <f t="shared" si="13"/>
        <v>0</v>
      </c>
      <c r="AN124" s="383">
        <f t="shared" si="13"/>
        <v>0</v>
      </c>
      <c r="AO124" s="383">
        <f t="shared" si="13"/>
        <v>0</v>
      </c>
      <c r="AP124" s="383">
        <f t="shared" si="13"/>
        <v>0</v>
      </c>
      <c r="AQ124" s="383">
        <f t="shared" si="13"/>
        <v>0</v>
      </c>
      <c r="AR124" s="370">
        <f t="shared" si="13"/>
        <v>0</v>
      </c>
    </row>
    <row r="125" spans="2:44" x14ac:dyDescent="0.25">
      <c r="B125" s="118" t="s">
        <v>37</v>
      </c>
      <c r="C125" s="373" t="str">
        <f>CONCATENATE("Euro/",$C$7)</f>
        <v>Euro/kWh</v>
      </c>
      <c r="D125" s="373"/>
      <c r="E125" s="382">
        <f t="shared" ref="E125:S125" si="14">E107</f>
        <v>0</v>
      </c>
      <c r="F125" s="382">
        <f t="shared" si="14"/>
        <v>0</v>
      </c>
      <c r="G125" s="382">
        <f t="shared" si="14"/>
        <v>0</v>
      </c>
      <c r="H125" s="382">
        <f t="shared" si="14"/>
        <v>0</v>
      </c>
      <c r="I125" s="382">
        <f t="shared" si="14"/>
        <v>0</v>
      </c>
      <c r="J125" s="382">
        <f t="shared" si="14"/>
        <v>0</v>
      </c>
      <c r="K125" s="382">
        <f t="shared" si="14"/>
        <v>0</v>
      </c>
      <c r="L125" s="382">
        <f t="shared" si="14"/>
        <v>0</v>
      </c>
      <c r="M125" s="382">
        <f t="shared" si="14"/>
        <v>0</v>
      </c>
      <c r="N125" s="382">
        <f t="shared" si="14"/>
        <v>0</v>
      </c>
      <c r="O125" s="382">
        <f t="shared" si="14"/>
        <v>0</v>
      </c>
      <c r="P125" s="382">
        <f t="shared" si="14"/>
        <v>0</v>
      </c>
      <c r="Q125" s="382">
        <f t="shared" si="14"/>
        <v>0</v>
      </c>
      <c r="R125" s="382">
        <f t="shared" si="14"/>
        <v>0</v>
      </c>
      <c r="S125" s="382">
        <f t="shared" si="14"/>
        <v>0</v>
      </c>
      <c r="T125" s="382">
        <f t="shared" ref="T125:AR125" si="15">T107</f>
        <v>0</v>
      </c>
      <c r="U125" s="382">
        <f t="shared" si="15"/>
        <v>0</v>
      </c>
      <c r="V125" s="382">
        <f t="shared" si="15"/>
        <v>0</v>
      </c>
      <c r="W125" s="382">
        <f t="shared" si="15"/>
        <v>0</v>
      </c>
      <c r="X125" s="382">
        <f t="shared" si="15"/>
        <v>0</v>
      </c>
      <c r="Y125" s="382">
        <f t="shared" si="15"/>
        <v>0</v>
      </c>
      <c r="Z125" s="382">
        <f t="shared" si="15"/>
        <v>0</v>
      </c>
      <c r="AA125" s="382">
        <f t="shared" si="15"/>
        <v>0</v>
      </c>
      <c r="AB125" s="382">
        <f t="shared" si="15"/>
        <v>0</v>
      </c>
      <c r="AC125" s="382">
        <f t="shared" si="15"/>
        <v>0</v>
      </c>
      <c r="AD125" s="382">
        <f t="shared" si="15"/>
        <v>0</v>
      </c>
      <c r="AE125" s="382">
        <f t="shared" si="15"/>
        <v>0</v>
      </c>
      <c r="AF125" s="382">
        <f t="shared" si="15"/>
        <v>0</v>
      </c>
      <c r="AG125" s="382">
        <f t="shared" si="15"/>
        <v>0</v>
      </c>
      <c r="AH125" s="382">
        <f t="shared" si="15"/>
        <v>0</v>
      </c>
      <c r="AI125" s="382">
        <f t="shared" si="15"/>
        <v>0</v>
      </c>
      <c r="AJ125" s="382">
        <f t="shared" si="15"/>
        <v>0</v>
      </c>
      <c r="AK125" s="382">
        <f t="shared" si="15"/>
        <v>0</v>
      </c>
      <c r="AL125" s="382">
        <f t="shared" si="15"/>
        <v>0</v>
      </c>
      <c r="AM125" s="382">
        <f t="shared" si="15"/>
        <v>0</v>
      </c>
      <c r="AN125" s="382">
        <f t="shared" si="15"/>
        <v>0</v>
      </c>
      <c r="AO125" s="382">
        <f t="shared" si="15"/>
        <v>0</v>
      </c>
      <c r="AP125" s="382">
        <f t="shared" si="15"/>
        <v>0</v>
      </c>
      <c r="AQ125" s="382">
        <f t="shared" si="15"/>
        <v>0</v>
      </c>
      <c r="AR125" s="121">
        <f t="shared" si="15"/>
        <v>0</v>
      </c>
    </row>
    <row r="126" spans="2:44" x14ac:dyDescent="0.25">
      <c r="B126" s="118" t="s">
        <v>452</v>
      </c>
      <c r="C126" s="373" t="s">
        <v>424</v>
      </c>
      <c r="D126" s="373"/>
      <c r="E126" s="379">
        <f>MAX(0,E125-E124)*E118</f>
        <v>0</v>
      </c>
      <c r="F126" s="379">
        <f t="shared" ref="F126:AR126" si="16">MAX(0,F125-F124)*F118</f>
        <v>0</v>
      </c>
      <c r="G126" s="379">
        <f t="shared" si="16"/>
        <v>0</v>
      </c>
      <c r="H126" s="379">
        <f t="shared" si="16"/>
        <v>0</v>
      </c>
      <c r="I126" s="379">
        <f t="shared" si="16"/>
        <v>0</v>
      </c>
      <c r="J126" s="379">
        <f t="shared" si="16"/>
        <v>0</v>
      </c>
      <c r="K126" s="379">
        <f t="shared" si="16"/>
        <v>0</v>
      </c>
      <c r="L126" s="379">
        <f t="shared" si="16"/>
        <v>0</v>
      </c>
      <c r="M126" s="379">
        <f t="shared" si="16"/>
        <v>0</v>
      </c>
      <c r="N126" s="379">
        <f t="shared" si="16"/>
        <v>0</v>
      </c>
      <c r="O126" s="379">
        <f t="shared" si="16"/>
        <v>0</v>
      </c>
      <c r="P126" s="379">
        <f t="shared" si="16"/>
        <v>0</v>
      </c>
      <c r="Q126" s="379">
        <f t="shared" si="16"/>
        <v>0</v>
      </c>
      <c r="R126" s="379">
        <f t="shared" si="16"/>
        <v>0</v>
      </c>
      <c r="S126" s="379">
        <f t="shared" si="16"/>
        <v>0</v>
      </c>
      <c r="T126" s="379">
        <f t="shared" si="16"/>
        <v>0</v>
      </c>
      <c r="U126" s="379">
        <f t="shared" si="16"/>
        <v>0</v>
      </c>
      <c r="V126" s="379">
        <f t="shared" si="16"/>
        <v>0</v>
      </c>
      <c r="W126" s="379">
        <f t="shared" si="16"/>
        <v>0</v>
      </c>
      <c r="X126" s="379">
        <f t="shared" si="16"/>
        <v>0</v>
      </c>
      <c r="Y126" s="379">
        <f t="shared" si="16"/>
        <v>0</v>
      </c>
      <c r="Z126" s="379">
        <f t="shared" si="16"/>
        <v>0</v>
      </c>
      <c r="AA126" s="379">
        <f t="shared" si="16"/>
        <v>0</v>
      </c>
      <c r="AB126" s="379">
        <f t="shared" si="16"/>
        <v>0</v>
      </c>
      <c r="AC126" s="379">
        <f t="shared" si="16"/>
        <v>0</v>
      </c>
      <c r="AD126" s="379">
        <f t="shared" si="16"/>
        <v>0</v>
      </c>
      <c r="AE126" s="379">
        <f t="shared" si="16"/>
        <v>0</v>
      </c>
      <c r="AF126" s="379">
        <f t="shared" si="16"/>
        <v>0</v>
      </c>
      <c r="AG126" s="379">
        <f t="shared" si="16"/>
        <v>0</v>
      </c>
      <c r="AH126" s="379">
        <f t="shared" si="16"/>
        <v>0</v>
      </c>
      <c r="AI126" s="379">
        <f t="shared" si="16"/>
        <v>0</v>
      </c>
      <c r="AJ126" s="379">
        <f t="shared" si="16"/>
        <v>0</v>
      </c>
      <c r="AK126" s="379">
        <f t="shared" si="16"/>
        <v>0</v>
      </c>
      <c r="AL126" s="379">
        <f t="shared" si="16"/>
        <v>0</v>
      </c>
      <c r="AM126" s="379">
        <f t="shared" si="16"/>
        <v>0</v>
      </c>
      <c r="AN126" s="379">
        <f t="shared" si="16"/>
        <v>0</v>
      </c>
      <c r="AO126" s="379">
        <f t="shared" si="16"/>
        <v>0</v>
      </c>
      <c r="AP126" s="379">
        <f t="shared" si="16"/>
        <v>0</v>
      </c>
      <c r="AQ126" s="379">
        <f t="shared" si="16"/>
        <v>0</v>
      </c>
      <c r="AR126" s="120">
        <f t="shared" si="16"/>
        <v>0</v>
      </c>
    </row>
    <row r="127" spans="2:44" x14ac:dyDescent="0.25">
      <c r="B127" s="118" t="s">
        <v>453</v>
      </c>
      <c r="C127" s="373" t="s">
        <v>424</v>
      </c>
      <c r="D127" s="373"/>
      <c r="E127" s="379">
        <f>IF(E108&gt;0,,E122*E115+E123*SUM(E116:E117))</f>
        <v>0</v>
      </c>
      <c r="F127" s="379">
        <f t="shared" ref="F127:AQ127" si="17">IF(F108&gt;0,,F122*F115+F123*SUM(F116:F117))</f>
        <v>0</v>
      </c>
      <c r="G127" s="379">
        <f t="shared" si="17"/>
        <v>0</v>
      </c>
      <c r="H127" s="379">
        <f t="shared" si="17"/>
        <v>0</v>
      </c>
      <c r="I127" s="379">
        <f t="shared" si="17"/>
        <v>0</v>
      </c>
      <c r="J127" s="379">
        <f t="shared" si="17"/>
        <v>0</v>
      </c>
      <c r="K127" s="379">
        <f t="shared" si="17"/>
        <v>0</v>
      </c>
      <c r="L127" s="379">
        <f t="shared" si="17"/>
        <v>0</v>
      </c>
      <c r="M127" s="379">
        <f t="shared" si="17"/>
        <v>0</v>
      </c>
      <c r="N127" s="379">
        <f t="shared" si="17"/>
        <v>0</v>
      </c>
      <c r="O127" s="379">
        <f t="shared" si="17"/>
        <v>0</v>
      </c>
      <c r="P127" s="379">
        <f t="shared" si="17"/>
        <v>0</v>
      </c>
      <c r="Q127" s="379">
        <f t="shared" si="17"/>
        <v>0</v>
      </c>
      <c r="R127" s="379">
        <f t="shared" si="17"/>
        <v>0</v>
      </c>
      <c r="S127" s="379">
        <f t="shared" si="17"/>
        <v>0</v>
      </c>
      <c r="T127" s="379">
        <f t="shared" si="17"/>
        <v>0</v>
      </c>
      <c r="U127" s="379">
        <f t="shared" si="17"/>
        <v>0</v>
      </c>
      <c r="V127" s="379">
        <f t="shared" si="17"/>
        <v>0</v>
      </c>
      <c r="W127" s="379">
        <f t="shared" si="17"/>
        <v>0</v>
      </c>
      <c r="X127" s="379">
        <f t="shared" si="17"/>
        <v>0</v>
      </c>
      <c r="Y127" s="379">
        <f t="shared" si="17"/>
        <v>0</v>
      </c>
      <c r="Z127" s="379">
        <f t="shared" si="17"/>
        <v>0</v>
      </c>
      <c r="AA127" s="379">
        <f t="shared" si="17"/>
        <v>0</v>
      </c>
      <c r="AB127" s="379">
        <f t="shared" si="17"/>
        <v>0</v>
      </c>
      <c r="AC127" s="379">
        <f t="shared" si="17"/>
        <v>0</v>
      </c>
      <c r="AD127" s="379">
        <f t="shared" si="17"/>
        <v>0</v>
      </c>
      <c r="AE127" s="379">
        <f t="shared" si="17"/>
        <v>0</v>
      </c>
      <c r="AF127" s="379">
        <f t="shared" si="17"/>
        <v>0</v>
      </c>
      <c r="AG127" s="379">
        <f t="shared" si="17"/>
        <v>0</v>
      </c>
      <c r="AH127" s="379">
        <f t="shared" si="17"/>
        <v>0</v>
      </c>
      <c r="AI127" s="379">
        <f t="shared" si="17"/>
        <v>0</v>
      </c>
      <c r="AJ127" s="379">
        <f t="shared" si="17"/>
        <v>0</v>
      </c>
      <c r="AK127" s="379">
        <f t="shared" si="17"/>
        <v>0</v>
      </c>
      <c r="AL127" s="379">
        <f t="shared" si="17"/>
        <v>0</v>
      </c>
      <c r="AM127" s="379">
        <f t="shared" si="17"/>
        <v>0</v>
      </c>
      <c r="AN127" s="379">
        <f t="shared" si="17"/>
        <v>0</v>
      </c>
      <c r="AO127" s="379">
        <f t="shared" si="17"/>
        <v>0</v>
      </c>
      <c r="AP127" s="379">
        <f t="shared" si="17"/>
        <v>0</v>
      </c>
      <c r="AQ127" s="379">
        <f t="shared" si="17"/>
        <v>0</v>
      </c>
      <c r="AR127" s="120">
        <f>IF(AR108&gt;0,,AR122*AR115+AR123*SUM(AR116:AR117))</f>
        <v>0</v>
      </c>
    </row>
    <row r="128" spans="2:44" x14ac:dyDescent="0.25">
      <c r="B128" s="118" t="s">
        <v>454</v>
      </c>
      <c r="C128" s="373" t="s">
        <v>424</v>
      </c>
      <c r="D128" s="384"/>
      <c r="E128" s="379">
        <f>E124*E118</f>
        <v>0</v>
      </c>
      <c r="F128" s="379">
        <f t="shared" ref="F128:AR128" si="18">F124*F118</f>
        <v>0</v>
      </c>
      <c r="G128" s="379">
        <f t="shared" si="18"/>
        <v>0</v>
      </c>
      <c r="H128" s="379">
        <f t="shared" si="18"/>
        <v>0</v>
      </c>
      <c r="I128" s="379">
        <f t="shared" si="18"/>
        <v>0</v>
      </c>
      <c r="J128" s="379">
        <f t="shared" si="18"/>
        <v>0</v>
      </c>
      <c r="K128" s="379">
        <f t="shared" si="18"/>
        <v>0</v>
      </c>
      <c r="L128" s="379">
        <f t="shared" si="18"/>
        <v>0</v>
      </c>
      <c r="M128" s="379">
        <f t="shared" si="18"/>
        <v>0</v>
      </c>
      <c r="N128" s="379">
        <f t="shared" si="18"/>
        <v>0</v>
      </c>
      <c r="O128" s="379">
        <f t="shared" si="18"/>
        <v>0</v>
      </c>
      <c r="P128" s="379">
        <f t="shared" si="18"/>
        <v>0</v>
      </c>
      <c r="Q128" s="379">
        <f t="shared" si="18"/>
        <v>0</v>
      </c>
      <c r="R128" s="379">
        <f t="shared" si="18"/>
        <v>0</v>
      </c>
      <c r="S128" s="379">
        <f t="shared" si="18"/>
        <v>0</v>
      </c>
      <c r="T128" s="379">
        <f t="shared" si="18"/>
        <v>0</v>
      </c>
      <c r="U128" s="379">
        <f t="shared" si="18"/>
        <v>0</v>
      </c>
      <c r="V128" s="379">
        <f t="shared" si="18"/>
        <v>0</v>
      </c>
      <c r="W128" s="379">
        <f t="shared" si="18"/>
        <v>0</v>
      </c>
      <c r="X128" s="379">
        <f t="shared" si="18"/>
        <v>0</v>
      </c>
      <c r="Y128" s="379">
        <f t="shared" si="18"/>
        <v>0</v>
      </c>
      <c r="Z128" s="379">
        <f t="shared" si="18"/>
        <v>0</v>
      </c>
      <c r="AA128" s="379">
        <f t="shared" si="18"/>
        <v>0</v>
      </c>
      <c r="AB128" s="379">
        <f t="shared" si="18"/>
        <v>0</v>
      </c>
      <c r="AC128" s="379">
        <f t="shared" si="18"/>
        <v>0</v>
      </c>
      <c r="AD128" s="379">
        <f t="shared" si="18"/>
        <v>0</v>
      </c>
      <c r="AE128" s="379">
        <f t="shared" si="18"/>
        <v>0</v>
      </c>
      <c r="AF128" s="379">
        <f t="shared" si="18"/>
        <v>0</v>
      </c>
      <c r="AG128" s="379">
        <f t="shared" si="18"/>
        <v>0</v>
      </c>
      <c r="AH128" s="379">
        <f t="shared" si="18"/>
        <v>0</v>
      </c>
      <c r="AI128" s="379">
        <f t="shared" si="18"/>
        <v>0</v>
      </c>
      <c r="AJ128" s="379">
        <f t="shared" si="18"/>
        <v>0</v>
      </c>
      <c r="AK128" s="379">
        <f t="shared" si="18"/>
        <v>0</v>
      </c>
      <c r="AL128" s="379">
        <f t="shared" si="18"/>
        <v>0</v>
      </c>
      <c r="AM128" s="379">
        <f t="shared" si="18"/>
        <v>0</v>
      </c>
      <c r="AN128" s="379">
        <f t="shared" si="18"/>
        <v>0</v>
      </c>
      <c r="AO128" s="379">
        <f t="shared" si="18"/>
        <v>0</v>
      </c>
      <c r="AP128" s="379">
        <f t="shared" si="18"/>
        <v>0</v>
      </c>
      <c r="AQ128" s="379">
        <f t="shared" si="18"/>
        <v>0</v>
      </c>
      <c r="AR128" s="120">
        <f t="shared" si="18"/>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9">SUM(F126:F128)</f>
        <v>0</v>
      </c>
      <c r="G130" s="379">
        <f t="shared" si="19"/>
        <v>0</v>
      </c>
      <c r="H130" s="379">
        <f t="shared" si="19"/>
        <v>0</v>
      </c>
      <c r="I130" s="379">
        <f t="shared" si="19"/>
        <v>0</v>
      </c>
      <c r="J130" s="379">
        <f t="shared" si="19"/>
        <v>0</v>
      </c>
      <c r="K130" s="379">
        <f t="shared" si="19"/>
        <v>0</v>
      </c>
      <c r="L130" s="379">
        <f t="shared" si="19"/>
        <v>0</v>
      </c>
      <c r="M130" s="379">
        <f t="shared" si="19"/>
        <v>0</v>
      </c>
      <c r="N130" s="379">
        <f t="shared" si="19"/>
        <v>0</v>
      </c>
      <c r="O130" s="379">
        <f t="shared" si="19"/>
        <v>0</v>
      </c>
      <c r="P130" s="379">
        <f t="shared" si="19"/>
        <v>0</v>
      </c>
      <c r="Q130" s="379">
        <f t="shared" si="19"/>
        <v>0</v>
      </c>
      <c r="R130" s="379">
        <f t="shared" si="19"/>
        <v>0</v>
      </c>
      <c r="S130" s="379">
        <f t="shared" si="19"/>
        <v>0</v>
      </c>
      <c r="T130" s="379">
        <f t="shared" si="19"/>
        <v>0</v>
      </c>
      <c r="U130" s="379">
        <f t="shared" si="19"/>
        <v>0</v>
      </c>
      <c r="V130" s="379">
        <f t="shared" si="19"/>
        <v>0</v>
      </c>
      <c r="W130" s="379">
        <f t="shared" si="19"/>
        <v>0</v>
      </c>
      <c r="X130" s="379">
        <f t="shared" si="19"/>
        <v>0</v>
      </c>
      <c r="Y130" s="379">
        <f t="shared" si="19"/>
        <v>0</v>
      </c>
      <c r="Z130" s="379">
        <f t="shared" si="19"/>
        <v>0</v>
      </c>
      <c r="AA130" s="379">
        <f t="shared" si="19"/>
        <v>0</v>
      </c>
      <c r="AB130" s="379">
        <f t="shared" si="19"/>
        <v>0</v>
      </c>
      <c r="AC130" s="379">
        <f t="shared" si="19"/>
        <v>0</v>
      </c>
      <c r="AD130" s="379">
        <f t="shared" si="19"/>
        <v>0</v>
      </c>
      <c r="AE130" s="379">
        <f t="shared" si="19"/>
        <v>0</v>
      </c>
      <c r="AF130" s="379">
        <f t="shared" si="19"/>
        <v>0</v>
      </c>
      <c r="AG130" s="379">
        <f t="shared" si="19"/>
        <v>0</v>
      </c>
      <c r="AH130" s="379">
        <f t="shared" si="19"/>
        <v>0</v>
      </c>
      <c r="AI130" s="379">
        <f t="shared" si="19"/>
        <v>0</v>
      </c>
      <c r="AJ130" s="379">
        <f t="shared" si="19"/>
        <v>0</v>
      </c>
      <c r="AK130" s="379">
        <f t="shared" si="19"/>
        <v>0</v>
      </c>
      <c r="AL130" s="379">
        <f t="shared" si="19"/>
        <v>0</v>
      </c>
      <c r="AM130" s="379">
        <f t="shared" si="19"/>
        <v>0</v>
      </c>
      <c r="AN130" s="379">
        <f t="shared" si="19"/>
        <v>0</v>
      </c>
      <c r="AO130" s="379">
        <f t="shared" si="19"/>
        <v>0</v>
      </c>
      <c r="AP130" s="379">
        <f t="shared" si="19"/>
        <v>0</v>
      </c>
      <c r="AQ130" s="379">
        <f t="shared" si="19"/>
        <v>0</v>
      </c>
      <c r="AR130" s="120">
        <f t="shared" si="19"/>
        <v>0</v>
      </c>
    </row>
    <row r="131" spans="1:44" x14ac:dyDescent="0.25">
      <c r="B131" s="118" t="s">
        <v>457</v>
      </c>
      <c r="C131" s="373" t="s">
        <v>424</v>
      </c>
      <c r="D131" s="373"/>
      <c r="E131" s="379">
        <f t="shared" ref="E131:AR131" si="20">SUM(E120:E121)</f>
        <v>-2334.6</v>
      </c>
      <c r="F131" s="379">
        <f t="shared" si="20"/>
        <v>-2381.2919999999999</v>
      </c>
      <c r="G131" s="379">
        <f t="shared" si="20"/>
        <v>-2428.9178400000001</v>
      </c>
      <c r="H131" s="379">
        <f t="shared" si="20"/>
        <v>-2477.4961967999998</v>
      </c>
      <c r="I131" s="379">
        <f t="shared" si="20"/>
        <v>-2527.0461207359999</v>
      </c>
      <c r="J131" s="379">
        <f t="shared" si="20"/>
        <v>-2577.5870431507201</v>
      </c>
      <c r="K131" s="379">
        <f t="shared" si="20"/>
        <v>-2629.1387840137345</v>
      </c>
      <c r="L131" s="379">
        <f t="shared" si="20"/>
        <v>-2681.7215596940086</v>
      </c>
      <c r="M131" s="379">
        <f t="shared" si="20"/>
        <v>-2735.3559908878888</v>
      </c>
      <c r="N131" s="379">
        <f t="shared" si="20"/>
        <v>-2790.063110705647</v>
      </c>
      <c r="O131" s="379">
        <f t="shared" si="20"/>
        <v>-2845.8643729197597</v>
      </c>
      <c r="P131" s="379">
        <f t="shared" si="20"/>
        <v>-2902.7816603781544</v>
      </c>
      <c r="Q131" s="379">
        <f t="shared" si="20"/>
        <v>-4102.2549086920089</v>
      </c>
      <c r="R131" s="379">
        <f t="shared" si="20"/>
        <v>-3020.0540394574323</v>
      </c>
      <c r="S131" s="379">
        <f t="shared" si="20"/>
        <v>-3080.4551202465814</v>
      </c>
      <c r="T131" s="379">
        <f t="shared" si="20"/>
        <v>0</v>
      </c>
      <c r="U131" s="379">
        <f t="shared" si="20"/>
        <v>0</v>
      </c>
      <c r="V131" s="379">
        <f t="shared" si="20"/>
        <v>0</v>
      </c>
      <c r="W131" s="379">
        <f t="shared" si="20"/>
        <v>0</v>
      </c>
      <c r="X131" s="379">
        <f t="shared" si="20"/>
        <v>0</v>
      </c>
      <c r="Y131" s="379">
        <f t="shared" si="20"/>
        <v>0</v>
      </c>
      <c r="Z131" s="379">
        <f t="shared" si="20"/>
        <v>0</v>
      </c>
      <c r="AA131" s="379">
        <f t="shared" si="20"/>
        <v>0</v>
      </c>
      <c r="AB131" s="379">
        <f t="shared" si="20"/>
        <v>0</v>
      </c>
      <c r="AC131" s="379">
        <f t="shared" si="20"/>
        <v>0</v>
      </c>
      <c r="AD131" s="379">
        <f t="shared" si="20"/>
        <v>0</v>
      </c>
      <c r="AE131" s="379">
        <f t="shared" si="20"/>
        <v>0</v>
      </c>
      <c r="AF131" s="379">
        <f t="shared" si="20"/>
        <v>0</v>
      </c>
      <c r="AG131" s="379">
        <f t="shared" si="20"/>
        <v>0</v>
      </c>
      <c r="AH131" s="379">
        <f t="shared" si="20"/>
        <v>0</v>
      </c>
      <c r="AI131" s="379">
        <f t="shared" si="20"/>
        <v>0</v>
      </c>
      <c r="AJ131" s="379">
        <f t="shared" si="20"/>
        <v>0</v>
      </c>
      <c r="AK131" s="379">
        <f t="shared" si="20"/>
        <v>0</v>
      </c>
      <c r="AL131" s="379">
        <f t="shared" si="20"/>
        <v>0</v>
      </c>
      <c r="AM131" s="379">
        <f t="shared" si="20"/>
        <v>0</v>
      </c>
      <c r="AN131" s="379">
        <f t="shared" si="20"/>
        <v>0</v>
      </c>
      <c r="AO131" s="379">
        <f t="shared" si="20"/>
        <v>0</v>
      </c>
      <c r="AP131" s="379">
        <f t="shared" si="20"/>
        <v>0</v>
      </c>
      <c r="AQ131" s="379">
        <f t="shared" si="20"/>
        <v>0</v>
      </c>
      <c r="AR131" s="120">
        <f t="shared" si="20"/>
        <v>0</v>
      </c>
    </row>
    <row r="132" spans="1:44" x14ac:dyDescent="0.25">
      <c r="B132" s="149" t="s">
        <v>458</v>
      </c>
      <c r="C132" s="381" t="s">
        <v>424</v>
      </c>
      <c r="D132" s="385"/>
      <c r="E132" s="386">
        <f>SUM(E130:E131)</f>
        <v>-2334.6</v>
      </c>
      <c r="F132" s="386">
        <f t="shared" ref="F132:AR132" si="21">SUM(F130:F131)</f>
        <v>-2381.2919999999999</v>
      </c>
      <c r="G132" s="386">
        <f t="shared" si="21"/>
        <v>-2428.9178400000001</v>
      </c>
      <c r="H132" s="386">
        <f t="shared" si="21"/>
        <v>-2477.4961967999998</v>
      </c>
      <c r="I132" s="386">
        <f t="shared" si="21"/>
        <v>-2527.0461207359999</v>
      </c>
      <c r="J132" s="386">
        <f t="shared" si="21"/>
        <v>-2577.5870431507201</v>
      </c>
      <c r="K132" s="386">
        <f t="shared" si="21"/>
        <v>-2629.1387840137345</v>
      </c>
      <c r="L132" s="386">
        <f t="shared" si="21"/>
        <v>-2681.7215596940086</v>
      </c>
      <c r="M132" s="386">
        <f t="shared" si="21"/>
        <v>-2735.3559908878888</v>
      </c>
      <c r="N132" s="386">
        <f t="shared" si="21"/>
        <v>-2790.063110705647</v>
      </c>
      <c r="O132" s="386">
        <f t="shared" si="21"/>
        <v>-2845.8643729197597</v>
      </c>
      <c r="P132" s="386">
        <f t="shared" si="21"/>
        <v>-2902.7816603781544</v>
      </c>
      <c r="Q132" s="386">
        <f t="shared" si="21"/>
        <v>-4102.2549086920089</v>
      </c>
      <c r="R132" s="386">
        <f t="shared" si="21"/>
        <v>-3020.0540394574323</v>
      </c>
      <c r="S132" s="386">
        <f t="shared" si="21"/>
        <v>-3080.4551202465814</v>
      </c>
      <c r="T132" s="386">
        <f t="shared" si="21"/>
        <v>0</v>
      </c>
      <c r="U132" s="386">
        <f t="shared" si="21"/>
        <v>0</v>
      </c>
      <c r="V132" s="386">
        <f t="shared" si="21"/>
        <v>0</v>
      </c>
      <c r="W132" s="386">
        <f t="shared" si="21"/>
        <v>0</v>
      </c>
      <c r="X132" s="386">
        <f t="shared" si="21"/>
        <v>0</v>
      </c>
      <c r="Y132" s="386">
        <f t="shared" si="21"/>
        <v>0</v>
      </c>
      <c r="Z132" s="386">
        <f t="shared" si="21"/>
        <v>0</v>
      </c>
      <c r="AA132" s="386">
        <f t="shared" si="21"/>
        <v>0</v>
      </c>
      <c r="AB132" s="386">
        <f t="shared" si="21"/>
        <v>0</v>
      </c>
      <c r="AC132" s="386">
        <f t="shared" si="21"/>
        <v>0</v>
      </c>
      <c r="AD132" s="386">
        <f t="shared" si="21"/>
        <v>0</v>
      </c>
      <c r="AE132" s="386">
        <f t="shared" si="21"/>
        <v>0</v>
      </c>
      <c r="AF132" s="386">
        <f t="shared" si="21"/>
        <v>0</v>
      </c>
      <c r="AG132" s="386">
        <f t="shared" si="21"/>
        <v>0</v>
      </c>
      <c r="AH132" s="386">
        <f t="shared" si="21"/>
        <v>0</v>
      </c>
      <c r="AI132" s="386">
        <f t="shared" si="21"/>
        <v>0</v>
      </c>
      <c r="AJ132" s="386">
        <f t="shared" si="21"/>
        <v>0</v>
      </c>
      <c r="AK132" s="386">
        <f t="shared" si="21"/>
        <v>0</v>
      </c>
      <c r="AL132" s="386">
        <f t="shared" si="21"/>
        <v>0</v>
      </c>
      <c r="AM132" s="386">
        <f t="shared" si="21"/>
        <v>0</v>
      </c>
      <c r="AN132" s="386">
        <f t="shared" si="21"/>
        <v>0</v>
      </c>
      <c r="AO132" s="386">
        <f t="shared" si="21"/>
        <v>0</v>
      </c>
      <c r="AP132" s="386">
        <f t="shared" si="21"/>
        <v>0</v>
      </c>
      <c r="AQ132" s="386">
        <f t="shared" si="21"/>
        <v>0</v>
      </c>
      <c r="AR132" s="152">
        <f t="shared" si="21"/>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2">IF(E112&gt;$C$75,0,-$C$152/$C$75)</f>
        <v>-2726.6666666666665</v>
      </c>
      <c r="F134" s="379">
        <f t="shared" si="22"/>
        <v>-2726.6666666666665</v>
      </c>
      <c r="G134" s="379">
        <f t="shared" si="22"/>
        <v>-2726.6666666666665</v>
      </c>
      <c r="H134" s="379">
        <f t="shared" si="22"/>
        <v>-2726.6666666666665</v>
      </c>
      <c r="I134" s="379">
        <f t="shared" si="22"/>
        <v>-2726.6666666666665</v>
      </c>
      <c r="J134" s="379">
        <f t="shared" si="22"/>
        <v>-2726.6666666666665</v>
      </c>
      <c r="K134" s="379">
        <f t="shared" si="22"/>
        <v>-2726.6666666666665</v>
      </c>
      <c r="L134" s="379">
        <f t="shared" si="22"/>
        <v>-2726.6666666666665</v>
      </c>
      <c r="M134" s="379">
        <f t="shared" si="22"/>
        <v>-2726.6666666666665</v>
      </c>
      <c r="N134" s="379">
        <f t="shared" si="22"/>
        <v>-2726.6666666666665</v>
      </c>
      <c r="O134" s="379">
        <f t="shared" si="22"/>
        <v>-2726.6666666666665</v>
      </c>
      <c r="P134" s="379">
        <f t="shared" si="22"/>
        <v>-2726.6666666666665</v>
      </c>
      <c r="Q134" s="379">
        <f t="shared" si="22"/>
        <v>-2726.6666666666665</v>
      </c>
      <c r="R134" s="379">
        <f t="shared" si="22"/>
        <v>-2726.6666666666665</v>
      </c>
      <c r="S134" s="379">
        <f t="shared" si="22"/>
        <v>-2726.6666666666665</v>
      </c>
      <c r="T134" s="379">
        <f t="shared" si="22"/>
        <v>0</v>
      </c>
      <c r="U134" s="379">
        <f t="shared" si="22"/>
        <v>0</v>
      </c>
      <c r="V134" s="379">
        <f t="shared" si="22"/>
        <v>0</v>
      </c>
      <c r="W134" s="379">
        <f t="shared" si="22"/>
        <v>0</v>
      </c>
      <c r="X134" s="379">
        <f t="shared" si="22"/>
        <v>0</v>
      </c>
      <c r="Y134" s="379">
        <f t="shared" si="22"/>
        <v>0</v>
      </c>
      <c r="Z134" s="379">
        <f t="shared" si="22"/>
        <v>0</v>
      </c>
      <c r="AA134" s="379">
        <f t="shared" si="22"/>
        <v>0</v>
      </c>
      <c r="AB134" s="379">
        <f t="shared" si="22"/>
        <v>0</v>
      </c>
      <c r="AC134" s="379">
        <f t="shared" si="22"/>
        <v>0</v>
      </c>
      <c r="AD134" s="379">
        <f t="shared" si="22"/>
        <v>0</v>
      </c>
      <c r="AE134" s="379">
        <f t="shared" si="22"/>
        <v>0</v>
      </c>
      <c r="AF134" s="379">
        <f t="shared" si="22"/>
        <v>0</v>
      </c>
      <c r="AG134" s="379">
        <f t="shared" si="22"/>
        <v>0</v>
      </c>
      <c r="AH134" s="379">
        <f t="shared" si="22"/>
        <v>0</v>
      </c>
      <c r="AI134" s="379">
        <f t="shared" si="22"/>
        <v>0</v>
      </c>
      <c r="AJ134" s="379">
        <f t="shared" si="22"/>
        <v>0</v>
      </c>
      <c r="AK134" s="379">
        <f t="shared" si="22"/>
        <v>0</v>
      </c>
      <c r="AL134" s="379">
        <f t="shared" si="22"/>
        <v>0</v>
      </c>
      <c r="AM134" s="379">
        <f t="shared" si="22"/>
        <v>0</v>
      </c>
      <c r="AN134" s="379">
        <f t="shared" si="22"/>
        <v>0</v>
      </c>
      <c r="AO134" s="379">
        <f t="shared" si="22"/>
        <v>0</v>
      </c>
      <c r="AP134" s="379">
        <f t="shared" si="22"/>
        <v>0</v>
      </c>
      <c r="AQ134" s="379">
        <f t="shared" si="22"/>
        <v>0</v>
      </c>
      <c r="AR134" s="120">
        <f t="shared" si="22"/>
        <v>0</v>
      </c>
    </row>
    <row r="135" spans="1:44" x14ac:dyDescent="0.25">
      <c r="B135" s="118" t="s">
        <v>461</v>
      </c>
      <c r="C135" s="373" t="s">
        <v>424</v>
      </c>
      <c r="D135" s="373"/>
      <c r="E135" s="379">
        <f t="shared" ref="E135:AR135" si="23">IF(E112&gt;$C$74,0,IPMT($C$90,E112,$C$74,$C$157))</f>
        <v>-1431.5</v>
      </c>
      <c r="F135" s="379">
        <f t="shared" si="23"/>
        <v>-1365.1610152873668</v>
      </c>
      <c r="G135" s="379">
        <f t="shared" si="23"/>
        <v>-1295.5050813391017</v>
      </c>
      <c r="H135" s="379">
        <f t="shared" si="23"/>
        <v>-1222.3663506934233</v>
      </c>
      <c r="I135" s="379">
        <f t="shared" si="23"/>
        <v>-1145.5706835154615</v>
      </c>
      <c r="J135" s="379">
        <f t="shared" si="23"/>
        <v>-1064.9352329786013</v>
      </c>
      <c r="K135" s="379">
        <f t="shared" si="23"/>
        <v>-980.2680099148979</v>
      </c>
      <c r="L135" s="379">
        <f t="shared" si="23"/>
        <v>-891.36742569800936</v>
      </c>
      <c r="M135" s="379">
        <f t="shared" si="23"/>
        <v>-798.02181227027654</v>
      </c>
      <c r="N135" s="379">
        <f t="shared" si="23"/>
        <v>-700.00891817115701</v>
      </c>
      <c r="O135" s="379">
        <f t="shared" si="23"/>
        <v>-597.09537936708159</v>
      </c>
      <c r="P135" s="379">
        <f t="shared" si="23"/>
        <v>-489.03616362280218</v>
      </c>
      <c r="Q135" s="379">
        <f t="shared" si="23"/>
        <v>-375.57398709130899</v>
      </c>
      <c r="R135" s="379">
        <f t="shared" si="23"/>
        <v>-256.43870173324115</v>
      </c>
      <c r="S135" s="379">
        <f t="shared" si="23"/>
        <v>-131.34665210726988</v>
      </c>
      <c r="T135" s="379">
        <f t="shared" si="23"/>
        <v>0</v>
      </c>
      <c r="U135" s="379">
        <f t="shared" si="23"/>
        <v>0</v>
      </c>
      <c r="V135" s="379">
        <f t="shared" si="23"/>
        <v>0</v>
      </c>
      <c r="W135" s="379">
        <f t="shared" si="23"/>
        <v>0</v>
      </c>
      <c r="X135" s="379">
        <f t="shared" si="23"/>
        <v>0</v>
      </c>
      <c r="Y135" s="379">
        <f t="shared" si="23"/>
        <v>0</v>
      </c>
      <c r="Z135" s="379">
        <f t="shared" si="23"/>
        <v>0</v>
      </c>
      <c r="AA135" s="379">
        <f t="shared" si="23"/>
        <v>0</v>
      </c>
      <c r="AB135" s="379">
        <f t="shared" si="23"/>
        <v>0</v>
      </c>
      <c r="AC135" s="379">
        <f t="shared" si="23"/>
        <v>0</v>
      </c>
      <c r="AD135" s="379">
        <f t="shared" si="23"/>
        <v>0</v>
      </c>
      <c r="AE135" s="379">
        <f t="shared" si="23"/>
        <v>0</v>
      </c>
      <c r="AF135" s="379">
        <f t="shared" si="23"/>
        <v>0</v>
      </c>
      <c r="AG135" s="379">
        <f t="shared" si="23"/>
        <v>0</v>
      </c>
      <c r="AH135" s="379">
        <f t="shared" si="23"/>
        <v>0</v>
      </c>
      <c r="AI135" s="379">
        <f t="shared" si="23"/>
        <v>0</v>
      </c>
      <c r="AJ135" s="379">
        <f t="shared" si="23"/>
        <v>0</v>
      </c>
      <c r="AK135" s="379">
        <f t="shared" si="23"/>
        <v>0</v>
      </c>
      <c r="AL135" s="379">
        <f t="shared" si="23"/>
        <v>0</v>
      </c>
      <c r="AM135" s="379">
        <f t="shared" si="23"/>
        <v>0</v>
      </c>
      <c r="AN135" s="379">
        <f t="shared" si="23"/>
        <v>0</v>
      </c>
      <c r="AO135" s="379">
        <f t="shared" si="23"/>
        <v>0</v>
      </c>
      <c r="AP135" s="379">
        <f t="shared" si="23"/>
        <v>0</v>
      </c>
      <c r="AQ135" s="379">
        <f t="shared" si="23"/>
        <v>0</v>
      </c>
      <c r="AR135" s="120">
        <f t="shared" si="23"/>
        <v>0</v>
      </c>
    </row>
    <row r="136" spans="1:44" x14ac:dyDescent="0.25">
      <c r="B136" s="118" t="s">
        <v>462</v>
      </c>
      <c r="C136" s="373" t="s">
        <v>424</v>
      </c>
      <c r="D136" s="373"/>
      <c r="E136" s="379">
        <f t="shared" ref="E136:AR136" si="24">IF(E112&gt;$C$74,0,PPMT($C$90,E112,$C$74,$C$157))</f>
        <v>-1326.7796942526666</v>
      </c>
      <c r="F136" s="379">
        <f t="shared" si="24"/>
        <v>-1393.1186789652998</v>
      </c>
      <c r="G136" s="379">
        <f t="shared" si="24"/>
        <v>-1462.7746129135649</v>
      </c>
      <c r="H136" s="379">
        <f t="shared" si="24"/>
        <v>-1535.913343559243</v>
      </c>
      <c r="I136" s="379">
        <f t="shared" si="24"/>
        <v>-1612.7090107372051</v>
      </c>
      <c r="J136" s="379">
        <f t="shared" si="24"/>
        <v>-1693.3444612740652</v>
      </c>
      <c r="K136" s="379">
        <f t="shared" si="24"/>
        <v>-1778.0116843377684</v>
      </c>
      <c r="L136" s="379">
        <f t="shared" si="24"/>
        <v>-1866.912268554657</v>
      </c>
      <c r="M136" s="379">
        <f t="shared" si="24"/>
        <v>-1960.25788198239</v>
      </c>
      <c r="N136" s="379">
        <f t="shared" si="24"/>
        <v>-2058.2707760815097</v>
      </c>
      <c r="O136" s="379">
        <f t="shared" si="24"/>
        <v>-2161.1843148855851</v>
      </c>
      <c r="P136" s="379">
        <f t="shared" si="24"/>
        <v>-2269.2435306298644</v>
      </c>
      <c r="Q136" s="379">
        <f t="shared" si="24"/>
        <v>-2382.7057071613576</v>
      </c>
      <c r="R136" s="379">
        <f t="shared" si="24"/>
        <v>-2501.8409925194251</v>
      </c>
      <c r="S136" s="379">
        <f t="shared" si="24"/>
        <v>-2626.9330421453965</v>
      </c>
      <c r="T136" s="379">
        <f t="shared" si="24"/>
        <v>0</v>
      </c>
      <c r="U136" s="379">
        <f t="shared" si="24"/>
        <v>0</v>
      </c>
      <c r="V136" s="379">
        <f t="shared" si="24"/>
        <v>0</v>
      </c>
      <c r="W136" s="379">
        <f t="shared" si="24"/>
        <v>0</v>
      </c>
      <c r="X136" s="379">
        <f t="shared" si="24"/>
        <v>0</v>
      </c>
      <c r="Y136" s="379">
        <f t="shared" si="24"/>
        <v>0</v>
      </c>
      <c r="Z136" s="379">
        <f t="shared" si="24"/>
        <v>0</v>
      </c>
      <c r="AA136" s="379">
        <f t="shared" si="24"/>
        <v>0</v>
      </c>
      <c r="AB136" s="379">
        <f t="shared" si="24"/>
        <v>0</v>
      </c>
      <c r="AC136" s="379">
        <f t="shared" si="24"/>
        <v>0</v>
      </c>
      <c r="AD136" s="379">
        <f t="shared" si="24"/>
        <v>0</v>
      </c>
      <c r="AE136" s="379">
        <f t="shared" si="24"/>
        <v>0</v>
      </c>
      <c r="AF136" s="379">
        <f t="shared" si="24"/>
        <v>0</v>
      </c>
      <c r="AG136" s="379">
        <f t="shared" si="24"/>
        <v>0</v>
      </c>
      <c r="AH136" s="379">
        <f t="shared" si="24"/>
        <v>0</v>
      </c>
      <c r="AI136" s="379">
        <f t="shared" si="24"/>
        <v>0</v>
      </c>
      <c r="AJ136" s="379">
        <f t="shared" si="24"/>
        <v>0</v>
      </c>
      <c r="AK136" s="379">
        <f t="shared" si="24"/>
        <v>0</v>
      </c>
      <c r="AL136" s="379">
        <f t="shared" si="24"/>
        <v>0</v>
      </c>
      <c r="AM136" s="379">
        <f t="shared" si="24"/>
        <v>0</v>
      </c>
      <c r="AN136" s="379">
        <f t="shared" si="24"/>
        <v>0</v>
      </c>
      <c r="AO136" s="379">
        <f t="shared" si="24"/>
        <v>0</v>
      </c>
      <c r="AP136" s="379">
        <f t="shared" si="24"/>
        <v>0</v>
      </c>
      <c r="AQ136" s="379">
        <f t="shared" si="24"/>
        <v>0</v>
      </c>
      <c r="AR136" s="120">
        <f t="shared" si="24"/>
        <v>0</v>
      </c>
    </row>
    <row r="137" spans="1:44" s="54" customFormat="1" ht="13" x14ac:dyDescent="0.3">
      <c r="A137" s="16"/>
      <c r="B137" s="149" t="s">
        <v>463</v>
      </c>
      <c r="C137" s="381" t="s">
        <v>424</v>
      </c>
      <c r="D137" s="381"/>
      <c r="E137" s="386">
        <f>SUM(E135,E136)</f>
        <v>-2758.2796942526666</v>
      </c>
      <c r="F137" s="386">
        <f t="shared" ref="F137:AR137" si="25">SUM(F135,F136)</f>
        <v>-2758.2796942526666</v>
      </c>
      <c r="G137" s="386">
        <f t="shared" si="25"/>
        <v>-2758.2796942526666</v>
      </c>
      <c r="H137" s="386">
        <f t="shared" si="25"/>
        <v>-2758.2796942526666</v>
      </c>
      <c r="I137" s="386">
        <f t="shared" si="25"/>
        <v>-2758.2796942526666</v>
      </c>
      <c r="J137" s="386">
        <f t="shared" si="25"/>
        <v>-2758.2796942526666</v>
      </c>
      <c r="K137" s="386">
        <f t="shared" si="25"/>
        <v>-2758.2796942526666</v>
      </c>
      <c r="L137" s="386">
        <f t="shared" si="25"/>
        <v>-2758.2796942526666</v>
      </c>
      <c r="M137" s="386">
        <f t="shared" si="25"/>
        <v>-2758.2796942526666</v>
      </c>
      <c r="N137" s="386">
        <f t="shared" si="25"/>
        <v>-2758.2796942526666</v>
      </c>
      <c r="O137" s="386">
        <f t="shared" si="25"/>
        <v>-2758.2796942526666</v>
      </c>
      <c r="P137" s="386">
        <f t="shared" si="25"/>
        <v>-2758.2796942526666</v>
      </c>
      <c r="Q137" s="386">
        <f t="shared" si="25"/>
        <v>-2758.2796942526666</v>
      </c>
      <c r="R137" s="386">
        <f t="shared" si="25"/>
        <v>-2758.2796942526661</v>
      </c>
      <c r="S137" s="386">
        <f t="shared" si="25"/>
        <v>-2758.2796942526666</v>
      </c>
      <c r="T137" s="386">
        <f t="shared" si="25"/>
        <v>0</v>
      </c>
      <c r="U137" s="386">
        <f t="shared" si="25"/>
        <v>0</v>
      </c>
      <c r="V137" s="386">
        <f t="shared" si="25"/>
        <v>0</v>
      </c>
      <c r="W137" s="386">
        <f t="shared" si="25"/>
        <v>0</v>
      </c>
      <c r="X137" s="386">
        <f t="shared" si="25"/>
        <v>0</v>
      </c>
      <c r="Y137" s="386">
        <f t="shared" si="25"/>
        <v>0</v>
      </c>
      <c r="Z137" s="386">
        <f t="shared" si="25"/>
        <v>0</v>
      </c>
      <c r="AA137" s="386">
        <f t="shared" si="25"/>
        <v>0</v>
      </c>
      <c r="AB137" s="386">
        <f t="shared" si="25"/>
        <v>0</v>
      </c>
      <c r="AC137" s="386">
        <f t="shared" si="25"/>
        <v>0</v>
      </c>
      <c r="AD137" s="386">
        <f t="shared" si="25"/>
        <v>0</v>
      </c>
      <c r="AE137" s="386">
        <f t="shared" si="25"/>
        <v>0</v>
      </c>
      <c r="AF137" s="386">
        <f t="shared" si="25"/>
        <v>0</v>
      </c>
      <c r="AG137" s="386">
        <f t="shared" si="25"/>
        <v>0</v>
      </c>
      <c r="AH137" s="386">
        <f t="shared" si="25"/>
        <v>0</v>
      </c>
      <c r="AI137" s="386">
        <f t="shared" si="25"/>
        <v>0</v>
      </c>
      <c r="AJ137" s="386">
        <f t="shared" si="25"/>
        <v>0</v>
      </c>
      <c r="AK137" s="386">
        <f t="shared" si="25"/>
        <v>0</v>
      </c>
      <c r="AL137" s="386">
        <f t="shared" si="25"/>
        <v>0</v>
      </c>
      <c r="AM137" s="386">
        <f t="shared" si="25"/>
        <v>0</v>
      </c>
      <c r="AN137" s="386">
        <f t="shared" si="25"/>
        <v>0</v>
      </c>
      <c r="AO137" s="386">
        <f t="shared" si="25"/>
        <v>0</v>
      </c>
      <c r="AP137" s="386">
        <f t="shared" si="25"/>
        <v>0</v>
      </c>
      <c r="AQ137" s="386">
        <f t="shared" si="25"/>
        <v>0</v>
      </c>
      <c r="AR137" s="152">
        <f t="shared" si="25"/>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-6492.7666666666664</v>
      </c>
      <c r="F139" s="379">
        <f t="shared" ref="F139:AR139" si="26">F132+F134+F135</f>
        <v>-6473.1196819540328</v>
      </c>
      <c r="G139" s="379">
        <f t="shared" si="26"/>
        <v>-6451.0895880057678</v>
      </c>
      <c r="H139" s="379">
        <f t="shared" si="26"/>
        <v>-6426.5292141600903</v>
      </c>
      <c r="I139" s="379">
        <f t="shared" si="26"/>
        <v>-6399.2834709181279</v>
      </c>
      <c r="J139" s="379">
        <f t="shared" si="26"/>
        <v>-6369.1889427959886</v>
      </c>
      <c r="K139" s="379">
        <f t="shared" si="26"/>
        <v>-6336.0734605952985</v>
      </c>
      <c r="L139" s="379">
        <f t="shared" si="26"/>
        <v>-6299.755652058685</v>
      </c>
      <c r="M139" s="379">
        <f t="shared" si="26"/>
        <v>-6260.0444698248311</v>
      </c>
      <c r="N139" s="379">
        <f t="shared" si="26"/>
        <v>-6216.7386955434704</v>
      </c>
      <c r="O139" s="379">
        <f t="shared" si="26"/>
        <v>-6169.6264189535077</v>
      </c>
      <c r="P139" s="379">
        <f t="shared" si="26"/>
        <v>-6118.4844906676226</v>
      </c>
      <c r="Q139" s="379">
        <f t="shared" si="26"/>
        <v>-7204.4955624499853</v>
      </c>
      <c r="R139" s="379">
        <f t="shared" si="26"/>
        <v>-6003.1594078573398</v>
      </c>
      <c r="S139" s="379">
        <f t="shared" si="26"/>
        <v>-5938.4684390205175</v>
      </c>
      <c r="T139" s="379">
        <f t="shared" si="26"/>
        <v>0</v>
      </c>
      <c r="U139" s="379">
        <f t="shared" si="26"/>
        <v>0</v>
      </c>
      <c r="V139" s="379">
        <f t="shared" si="26"/>
        <v>0</v>
      </c>
      <c r="W139" s="379">
        <f t="shared" si="26"/>
        <v>0</v>
      </c>
      <c r="X139" s="379">
        <f t="shared" si="26"/>
        <v>0</v>
      </c>
      <c r="Y139" s="379">
        <f t="shared" si="26"/>
        <v>0</v>
      </c>
      <c r="Z139" s="379">
        <f t="shared" si="26"/>
        <v>0</v>
      </c>
      <c r="AA139" s="379">
        <f t="shared" si="26"/>
        <v>0</v>
      </c>
      <c r="AB139" s="379">
        <f t="shared" si="26"/>
        <v>0</v>
      </c>
      <c r="AC139" s="379">
        <f t="shared" si="26"/>
        <v>0</v>
      </c>
      <c r="AD139" s="379">
        <f t="shared" si="26"/>
        <v>0</v>
      </c>
      <c r="AE139" s="379">
        <f t="shared" si="26"/>
        <v>0</v>
      </c>
      <c r="AF139" s="379">
        <f t="shared" si="26"/>
        <v>0</v>
      </c>
      <c r="AG139" s="379">
        <f t="shared" si="26"/>
        <v>0</v>
      </c>
      <c r="AH139" s="379">
        <f t="shared" si="26"/>
        <v>0</v>
      </c>
      <c r="AI139" s="379">
        <f t="shared" si="26"/>
        <v>0</v>
      </c>
      <c r="AJ139" s="379">
        <f t="shared" si="26"/>
        <v>0</v>
      </c>
      <c r="AK139" s="379">
        <f t="shared" si="26"/>
        <v>0</v>
      </c>
      <c r="AL139" s="379">
        <f t="shared" si="26"/>
        <v>0</v>
      </c>
      <c r="AM139" s="379">
        <f t="shared" si="26"/>
        <v>0</v>
      </c>
      <c r="AN139" s="379">
        <f t="shared" si="26"/>
        <v>0</v>
      </c>
      <c r="AO139" s="379">
        <f t="shared" si="26"/>
        <v>0</v>
      </c>
      <c r="AP139" s="379">
        <f t="shared" si="26"/>
        <v>0</v>
      </c>
      <c r="AQ139" s="379">
        <f t="shared" si="26"/>
        <v>0</v>
      </c>
      <c r="AR139" s="120">
        <f t="shared" si="26"/>
        <v>0</v>
      </c>
    </row>
    <row r="140" spans="1:44" x14ac:dyDescent="0.25">
      <c r="B140" s="118" t="s">
        <v>466</v>
      </c>
      <c r="C140" s="373" t="s">
        <v>424</v>
      </c>
      <c r="D140" s="373"/>
      <c r="E140" s="379">
        <f t="shared" ref="E140:AR140" si="27">-$C$94*E139</f>
        <v>1233.6256666666666</v>
      </c>
      <c r="F140" s="379">
        <f t="shared" si="27"/>
        <v>1229.8927395712662</v>
      </c>
      <c r="G140" s="379">
        <f t="shared" si="27"/>
        <v>1225.707021721096</v>
      </c>
      <c r="H140" s="379">
        <f t="shared" si="27"/>
        <v>1221.0405506904171</v>
      </c>
      <c r="I140" s="379">
        <f t="shared" si="27"/>
        <v>1215.8638594744443</v>
      </c>
      <c r="J140" s="379">
        <f t="shared" si="27"/>
        <v>1210.1458991312379</v>
      </c>
      <c r="K140" s="379">
        <f t="shared" si="27"/>
        <v>1203.8539575131067</v>
      </c>
      <c r="L140" s="379">
        <f t="shared" si="27"/>
        <v>1196.9535738911502</v>
      </c>
      <c r="M140" s="379">
        <f t="shared" si="27"/>
        <v>1189.408449266718</v>
      </c>
      <c r="N140" s="379">
        <f t="shared" si="27"/>
        <v>1181.1803521532595</v>
      </c>
      <c r="O140" s="379">
        <f t="shared" si="27"/>
        <v>1172.2290196011666</v>
      </c>
      <c r="P140" s="379">
        <f t="shared" si="27"/>
        <v>1162.5120532268484</v>
      </c>
      <c r="Q140" s="379">
        <f t="shared" si="27"/>
        <v>1368.8541568654973</v>
      </c>
      <c r="R140" s="379">
        <f t="shared" si="27"/>
        <v>1140.6002874928945</v>
      </c>
      <c r="S140" s="379">
        <f t="shared" si="27"/>
        <v>1128.3090034138984</v>
      </c>
      <c r="T140" s="379">
        <f t="shared" si="27"/>
        <v>0</v>
      </c>
      <c r="U140" s="379">
        <f t="shared" si="27"/>
        <v>0</v>
      </c>
      <c r="V140" s="379">
        <f t="shared" si="27"/>
        <v>0</v>
      </c>
      <c r="W140" s="379">
        <f t="shared" si="27"/>
        <v>0</v>
      </c>
      <c r="X140" s="379">
        <f t="shared" si="27"/>
        <v>0</v>
      </c>
      <c r="Y140" s="379">
        <f t="shared" si="27"/>
        <v>0</v>
      </c>
      <c r="Z140" s="379">
        <f t="shared" si="27"/>
        <v>0</v>
      </c>
      <c r="AA140" s="379">
        <f t="shared" si="27"/>
        <v>0</v>
      </c>
      <c r="AB140" s="379">
        <f t="shared" si="27"/>
        <v>0</v>
      </c>
      <c r="AC140" s="379">
        <f t="shared" si="27"/>
        <v>0</v>
      </c>
      <c r="AD140" s="379">
        <f t="shared" si="27"/>
        <v>0</v>
      </c>
      <c r="AE140" s="379">
        <f t="shared" si="27"/>
        <v>0</v>
      </c>
      <c r="AF140" s="379">
        <f t="shared" si="27"/>
        <v>0</v>
      </c>
      <c r="AG140" s="379">
        <f t="shared" si="27"/>
        <v>0</v>
      </c>
      <c r="AH140" s="379">
        <f t="shared" si="27"/>
        <v>0</v>
      </c>
      <c r="AI140" s="379">
        <f t="shared" si="27"/>
        <v>0</v>
      </c>
      <c r="AJ140" s="379">
        <f t="shared" si="27"/>
        <v>0</v>
      </c>
      <c r="AK140" s="379">
        <f t="shared" si="27"/>
        <v>0</v>
      </c>
      <c r="AL140" s="379">
        <f t="shared" si="27"/>
        <v>0</v>
      </c>
      <c r="AM140" s="379">
        <f t="shared" si="27"/>
        <v>0</v>
      </c>
      <c r="AN140" s="379">
        <f t="shared" si="27"/>
        <v>0</v>
      </c>
      <c r="AO140" s="379">
        <f t="shared" si="27"/>
        <v>0</v>
      </c>
      <c r="AP140" s="379">
        <f t="shared" si="27"/>
        <v>0</v>
      </c>
      <c r="AQ140" s="379">
        <f t="shared" si="27"/>
        <v>0</v>
      </c>
      <c r="AR140" s="120">
        <f t="shared" si="27"/>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8">E132+E137+E140</f>
        <v>-3859.2540275859992</v>
      </c>
      <c r="F142" s="386">
        <f t="shared" si="28"/>
        <v>-3909.6789546814007</v>
      </c>
      <c r="G142" s="386">
        <f t="shared" si="28"/>
        <v>-3961.4905125315709</v>
      </c>
      <c r="H142" s="386">
        <f t="shared" si="28"/>
        <v>-4014.7353403622492</v>
      </c>
      <c r="I142" s="386">
        <f t="shared" si="28"/>
        <v>-4069.4619555142217</v>
      </c>
      <c r="J142" s="386">
        <f t="shared" si="28"/>
        <v>-4125.7208382721492</v>
      </c>
      <c r="K142" s="386">
        <f t="shared" si="28"/>
        <v>-4183.5645207532943</v>
      </c>
      <c r="L142" s="386">
        <f t="shared" si="28"/>
        <v>-4243.0476800555252</v>
      </c>
      <c r="M142" s="386">
        <f t="shared" si="28"/>
        <v>-4304.2272358738373</v>
      </c>
      <c r="N142" s="386">
        <f t="shared" si="28"/>
        <v>-4367.1624528050543</v>
      </c>
      <c r="O142" s="386">
        <f t="shared" si="28"/>
        <v>-4431.9150475712604</v>
      </c>
      <c r="P142" s="386">
        <f t="shared" si="28"/>
        <v>-4498.549301403973</v>
      </c>
      <c r="Q142" s="386">
        <f t="shared" si="28"/>
        <v>-5491.6804460791782</v>
      </c>
      <c r="R142" s="386">
        <f t="shared" si="28"/>
        <v>-4637.7334462172039</v>
      </c>
      <c r="S142" s="386">
        <f t="shared" si="28"/>
        <v>-4710.4258110853498</v>
      </c>
      <c r="T142" s="386">
        <f t="shared" si="28"/>
        <v>0</v>
      </c>
      <c r="U142" s="386">
        <f t="shared" si="28"/>
        <v>0</v>
      </c>
      <c r="V142" s="386">
        <f t="shared" si="28"/>
        <v>0</v>
      </c>
      <c r="W142" s="386">
        <f t="shared" si="28"/>
        <v>0</v>
      </c>
      <c r="X142" s="386">
        <f t="shared" si="28"/>
        <v>0</v>
      </c>
      <c r="Y142" s="386">
        <f t="shared" si="28"/>
        <v>0</v>
      </c>
      <c r="Z142" s="386">
        <f t="shared" si="28"/>
        <v>0</v>
      </c>
      <c r="AA142" s="386">
        <f t="shared" si="28"/>
        <v>0</v>
      </c>
      <c r="AB142" s="386">
        <f t="shared" si="28"/>
        <v>0</v>
      </c>
      <c r="AC142" s="386">
        <f t="shared" si="28"/>
        <v>0</v>
      </c>
      <c r="AD142" s="386">
        <f t="shared" si="28"/>
        <v>0</v>
      </c>
      <c r="AE142" s="386">
        <f t="shared" si="28"/>
        <v>0</v>
      </c>
      <c r="AF142" s="386">
        <f t="shared" si="28"/>
        <v>0</v>
      </c>
      <c r="AG142" s="386">
        <f t="shared" si="28"/>
        <v>0</v>
      </c>
      <c r="AH142" s="386">
        <f t="shared" si="28"/>
        <v>0</v>
      </c>
      <c r="AI142" s="386">
        <f t="shared" si="28"/>
        <v>0</v>
      </c>
      <c r="AJ142" s="386">
        <f t="shared" si="28"/>
        <v>0</v>
      </c>
      <c r="AK142" s="386">
        <f t="shared" si="28"/>
        <v>0</v>
      </c>
      <c r="AL142" s="386">
        <f t="shared" si="28"/>
        <v>0</v>
      </c>
      <c r="AM142" s="386">
        <f t="shared" si="28"/>
        <v>0</v>
      </c>
      <c r="AN142" s="386">
        <f t="shared" si="28"/>
        <v>0</v>
      </c>
      <c r="AO142" s="386">
        <f t="shared" si="28"/>
        <v>0</v>
      </c>
      <c r="AP142" s="386">
        <f t="shared" si="28"/>
        <v>0</v>
      </c>
      <c r="AQ142" s="386">
        <f t="shared" si="28"/>
        <v>0</v>
      </c>
      <c r="AR142" s="152">
        <f t="shared" si="28"/>
        <v>0</v>
      </c>
    </row>
    <row r="143" spans="1:44" x14ac:dyDescent="0.25">
      <c r="B143" s="118" t="s">
        <v>469</v>
      </c>
      <c r="C143" s="373" t="s">
        <v>424</v>
      </c>
      <c r="D143" s="384">
        <f>-SUM(C157:C158)</f>
        <v>-40900</v>
      </c>
      <c r="E143" s="379">
        <f>E132+E140</f>
        <v>-1100.9743333333333</v>
      </c>
      <c r="F143" s="379">
        <f t="shared" ref="F143:AR143" si="29">F132+F140</f>
        <v>-1151.3992604287337</v>
      </c>
      <c r="G143" s="379">
        <f t="shared" si="29"/>
        <v>-1203.2108182789041</v>
      </c>
      <c r="H143" s="379">
        <f t="shared" si="29"/>
        <v>-1256.4556461095826</v>
      </c>
      <c r="I143" s="379">
        <f t="shared" si="29"/>
        <v>-1311.1822612615556</v>
      </c>
      <c r="J143" s="379">
        <f t="shared" si="29"/>
        <v>-1367.4411440194822</v>
      </c>
      <c r="K143" s="379">
        <f t="shared" si="29"/>
        <v>-1425.2848265006278</v>
      </c>
      <c r="L143" s="379">
        <f t="shared" si="29"/>
        <v>-1484.7679858028584</v>
      </c>
      <c r="M143" s="379">
        <f t="shared" si="29"/>
        <v>-1545.9475416211708</v>
      </c>
      <c r="N143" s="379">
        <f t="shared" si="29"/>
        <v>-1608.8827585523875</v>
      </c>
      <c r="O143" s="379">
        <f t="shared" si="29"/>
        <v>-1673.6353533185932</v>
      </c>
      <c r="P143" s="379">
        <f t="shared" si="29"/>
        <v>-1740.269607151306</v>
      </c>
      <c r="Q143" s="379">
        <f t="shared" si="29"/>
        <v>-2733.4007518265116</v>
      </c>
      <c r="R143" s="379">
        <f t="shared" si="29"/>
        <v>-1879.4537519645378</v>
      </c>
      <c r="S143" s="379">
        <f t="shared" si="29"/>
        <v>-1952.146116832683</v>
      </c>
      <c r="T143" s="379">
        <f t="shared" si="29"/>
        <v>0</v>
      </c>
      <c r="U143" s="379">
        <f t="shared" si="29"/>
        <v>0</v>
      </c>
      <c r="V143" s="379">
        <f t="shared" si="29"/>
        <v>0</v>
      </c>
      <c r="W143" s="379">
        <f t="shared" si="29"/>
        <v>0</v>
      </c>
      <c r="X143" s="379">
        <f t="shared" si="29"/>
        <v>0</v>
      </c>
      <c r="Y143" s="379">
        <f t="shared" si="29"/>
        <v>0</v>
      </c>
      <c r="Z143" s="379">
        <f t="shared" si="29"/>
        <v>0</v>
      </c>
      <c r="AA143" s="379">
        <f t="shared" si="29"/>
        <v>0</v>
      </c>
      <c r="AB143" s="379">
        <f t="shared" si="29"/>
        <v>0</v>
      </c>
      <c r="AC143" s="379">
        <f t="shared" si="29"/>
        <v>0</v>
      </c>
      <c r="AD143" s="379">
        <f t="shared" si="29"/>
        <v>0</v>
      </c>
      <c r="AE143" s="379">
        <f t="shared" si="29"/>
        <v>0</v>
      </c>
      <c r="AF143" s="379">
        <f t="shared" si="29"/>
        <v>0</v>
      </c>
      <c r="AG143" s="379">
        <f t="shared" si="29"/>
        <v>0</v>
      </c>
      <c r="AH143" s="379">
        <f t="shared" si="29"/>
        <v>0</v>
      </c>
      <c r="AI143" s="379">
        <f t="shared" si="29"/>
        <v>0</v>
      </c>
      <c r="AJ143" s="379">
        <f t="shared" si="29"/>
        <v>0</v>
      </c>
      <c r="AK143" s="379">
        <f t="shared" si="29"/>
        <v>0</v>
      </c>
      <c r="AL143" s="379">
        <f t="shared" si="29"/>
        <v>0</v>
      </c>
      <c r="AM143" s="379">
        <f t="shared" si="29"/>
        <v>0</v>
      </c>
      <c r="AN143" s="379">
        <f t="shared" si="29"/>
        <v>0</v>
      </c>
      <c r="AO143" s="379">
        <f t="shared" si="29"/>
        <v>0</v>
      </c>
      <c r="AP143" s="379">
        <f t="shared" si="29"/>
        <v>0</v>
      </c>
      <c r="AQ143" s="379">
        <f t="shared" si="29"/>
        <v>0</v>
      </c>
      <c r="AR143" s="120">
        <f t="shared" si="29"/>
        <v>0</v>
      </c>
    </row>
    <row r="144" spans="1:44" x14ac:dyDescent="0.25">
      <c r="B144" s="118" t="s">
        <v>470</v>
      </c>
      <c r="C144" s="373" t="s">
        <v>424</v>
      </c>
      <c r="D144" s="384">
        <f>-C158</f>
        <v>-12270</v>
      </c>
      <c r="E144" s="379">
        <f>E142</f>
        <v>-3859.2540275859992</v>
      </c>
      <c r="F144" s="379">
        <f t="shared" ref="F144:AR144" si="30">F142</f>
        <v>-3909.6789546814007</v>
      </c>
      <c r="G144" s="379">
        <f t="shared" si="30"/>
        <v>-3961.4905125315709</v>
      </c>
      <c r="H144" s="379">
        <f t="shared" si="30"/>
        <v>-4014.7353403622492</v>
      </c>
      <c r="I144" s="379">
        <f t="shared" si="30"/>
        <v>-4069.4619555142217</v>
      </c>
      <c r="J144" s="379">
        <f t="shared" si="30"/>
        <v>-4125.7208382721492</v>
      </c>
      <c r="K144" s="379">
        <f t="shared" si="30"/>
        <v>-4183.5645207532943</v>
      </c>
      <c r="L144" s="379">
        <f t="shared" si="30"/>
        <v>-4243.0476800555252</v>
      </c>
      <c r="M144" s="379">
        <f t="shared" si="30"/>
        <v>-4304.2272358738373</v>
      </c>
      <c r="N144" s="379">
        <f t="shared" si="30"/>
        <v>-4367.1624528050543</v>
      </c>
      <c r="O144" s="379">
        <f t="shared" si="30"/>
        <v>-4431.9150475712604</v>
      </c>
      <c r="P144" s="379">
        <f t="shared" si="30"/>
        <v>-4498.549301403973</v>
      </c>
      <c r="Q144" s="379">
        <f t="shared" si="30"/>
        <v>-5491.6804460791782</v>
      </c>
      <c r="R144" s="379">
        <f t="shared" si="30"/>
        <v>-4637.7334462172039</v>
      </c>
      <c r="S144" s="379">
        <f t="shared" si="30"/>
        <v>-4710.4258110853498</v>
      </c>
      <c r="T144" s="379">
        <f t="shared" si="30"/>
        <v>0</v>
      </c>
      <c r="U144" s="379">
        <f t="shared" si="30"/>
        <v>0</v>
      </c>
      <c r="V144" s="379">
        <f t="shared" si="30"/>
        <v>0</v>
      </c>
      <c r="W144" s="379">
        <f t="shared" si="30"/>
        <v>0</v>
      </c>
      <c r="X144" s="379">
        <f t="shared" si="30"/>
        <v>0</v>
      </c>
      <c r="Y144" s="379">
        <f t="shared" si="30"/>
        <v>0</v>
      </c>
      <c r="Z144" s="379">
        <f t="shared" si="30"/>
        <v>0</v>
      </c>
      <c r="AA144" s="379">
        <f t="shared" si="30"/>
        <v>0</v>
      </c>
      <c r="AB144" s="379">
        <f t="shared" si="30"/>
        <v>0</v>
      </c>
      <c r="AC144" s="379">
        <f t="shared" si="30"/>
        <v>0</v>
      </c>
      <c r="AD144" s="379">
        <f t="shared" si="30"/>
        <v>0</v>
      </c>
      <c r="AE144" s="379">
        <f t="shared" si="30"/>
        <v>0</v>
      </c>
      <c r="AF144" s="379">
        <f t="shared" si="30"/>
        <v>0</v>
      </c>
      <c r="AG144" s="379">
        <f t="shared" si="30"/>
        <v>0</v>
      </c>
      <c r="AH144" s="379">
        <f t="shared" si="30"/>
        <v>0</v>
      </c>
      <c r="AI144" s="379">
        <f t="shared" si="30"/>
        <v>0</v>
      </c>
      <c r="AJ144" s="379">
        <f t="shared" si="30"/>
        <v>0</v>
      </c>
      <c r="AK144" s="379">
        <f t="shared" si="30"/>
        <v>0</v>
      </c>
      <c r="AL144" s="379">
        <f t="shared" si="30"/>
        <v>0</v>
      </c>
      <c r="AM144" s="379">
        <f t="shared" si="30"/>
        <v>0</v>
      </c>
      <c r="AN144" s="379">
        <f t="shared" si="30"/>
        <v>0</v>
      </c>
      <c r="AO144" s="379">
        <f t="shared" si="30"/>
        <v>0</v>
      </c>
      <c r="AP144" s="379">
        <f t="shared" si="30"/>
        <v>0</v>
      </c>
      <c r="AQ144" s="379">
        <f t="shared" si="30"/>
        <v>0</v>
      </c>
      <c r="AR144" s="120">
        <f t="shared" si="30"/>
        <v>0</v>
      </c>
    </row>
    <row r="145" spans="1:44" x14ac:dyDescent="0.25">
      <c r="B145" s="118" t="s">
        <v>471</v>
      </c>
      <c r="C145" s="378" t="str">
        <f>$C$7</f>
        <v>kWh</v>
      </c>
      <c r="D145" s="373"/>
      <c r="E145" s="379">
        <f t="shared" ref="E145:AR145" si="31">IF(E112&gt;$C$76,0,E118)</f>
        <v>54000</v>
      </c>
      <c r="F145" s="379">
        <f t="shared" si="31"/>
        <v>54000</v>
      </c>
      <c r="G145" s="379">
        <f t="shared" si="31"/>
        <v>54000</v>
      </c>
      <c r="H145" s="379">
        <f t="shared" si="31"/>
        <v>54000</v>
      </c>
      <c r="I145" s="379">
        <f t="shared" si="31"/>
        <v>54000</v>
      </c>
      <c r="J145" s="379">
        <f t="shared" si="31"/>
        <v>54000</v>
      </c>
      <c r="K145" s="379">
        <f t="shared" si="31"/>
        <v>54000</v>
      </c>
      <c r="L145" s="379">
        <f t="shared" si="31"/>
        <v>54000</v>
      </c>
      <c r="M145" s="379">
        <f t="shared" si="31"/>
        <v>54000</v>
      </c>
      <c r="N145" s="379">
        <f t="shared" si="31"/>
        <v>54000</v>
      </c>
      <c r="O145" s="379">
        <f t="shared" si="31"/>
        <v>54000</v>
      </c>
      <c r="P145" s="379">
        <f t="shared" si="31"/>
        <v>54000</v>
      </c>
      <c r="Q145" s="379">
        <f t="shared" si="31"/>
        <v>54000</v>
      </c>
      <c r="R145" s="379">
        <f t="shared" si="31"/>
        <v>54000</v>
      </c>
      <c r="S145" s="379">
        <f t="shared" si="31"/>
        <v>54000</v>
      </c>
      <c r="T145" s="379">
        <f t="shared" si="31"/>
        <v>0</v>
      </c>
      <c r="U145" s="379">
        <f t="shared" si="31"/>
        <v>0</v>
      </c>
      <c r="V145" s="379">
        <f t="shared" si="31"/>
        <v>0</v>
      </c>
      <c r="W145" s="379">
        <f t="shared" si="31"/>
        <v>0</v>
      </c>
      <c r="X145" s="379">
        <f t="shared" si="31"/>
        <v>0</v>
      </c>
      <c r="Y145" s="379">
        <f t="shared" si="31"/>
        <v>0</v>
      </c>
      <c r="Z145" s="379">
        <f t="shared" si="31"/>
        <v>0</v>
      </c>
      <c r="AA145" s="379">
        <f t="shared" si="31"/>
        <v>0</v>
      </c>
      <c r="AB145" s="379">
        <f t="shared" si="31"/>
        <v>0</v>
      </c>
      <c r="AC145" s="379">
        <f t="shared" si="31"/>
        <v>0</v>
      </c>
      <c r="AD145" s="379">
        <f t="shared" si="31"/>
        <v>0</v>
      </c>
      <c r="AE145" s="379">
        <f t="shared" si="31"/>
        <v>0</v>
      </c>
      <c r="AF145" s="379">
        <f t="shared" si="31"/>
        <v>0</v>
      </c>
      <c r="AG145" s="379">
        <f t="shared" si="31"/>
        <v>0</v>
      </c>
      <c r="AH145" s="379">
        <f t="shared" si="31"/>
        <v>0</v>
      </c>
      <c r="AI145" s="379">
        <f t="shared" si="31"/>
        <v>0</v>
      </c>
      <c r="AJ145" s="379">
        <f t="shared" si="31"/>
        <v>0</v>
      </c>
      <c r="AK145" s="379">
        <f t="shared" si="31"/>
        <v>0</v>
      </c>
      <c r="AL145" s="379">
        <f t="shared" si="31"/>
        <v>0</v>
      </c>
      <c r="AM145" s="379">
        <f t="shared" si="31"/>
        <v>0</v>
      </c>
      <c r="AN145" s="379">
        <f t="shared" si="31"/>
        <v>0</v>
      </c>
      <c r="AO145" s="379">
        <f t="shared" si="31"/>
        <v>0</v>
      </c>
      <c r="AP145" s="379">
        <f t="shared" si="31"/>
        <v>0</v>
      </c>
      <c r="AQ145" s="379">
        <f t="shared" si="31"/>
        <v>0</v>
      </c>
      <c r="AR145" s="120">
        <f t="shared" si="31"/>
        <v>0</v>
      </c>
    </row>
    <row r="146" spans="1:44" x14ac:dyDescent="0.25">
      <c r="B146" s="122" t="s">
        <v>472</v>
      </c>
      <c r="C146" s="373" t="s">
        <v>424</v>
      </c>
      <c r="D146" s="123">
        <f>-D113</f>
        <v>40900</v>
      </c>
      <c r="E146" s="123">
        <f t="shared" ref="E146:AR146" si="32">IF(E112&lt;=$C76,D146-($C$5*E118+E132+E135),D146-(E132+E135))</f>
        <v>37829.699999999997</v>
      </c>
      <c r="F146" s="123">
        <f t="shared" si="32"/>
        <v>34739.753015287366</v>
      </c>
      <c r="G146" s="123">
        <f t="shared" si="32"/>
        <v>31627.775936626469</v>
      </c>
      <c r="H146" s="123">
        <f t="shared" si="32"/>
        <v>28491.238484119895</v>
      </c>
      <c r="I146" s="123">
        <f t="shared" si="32"/>
        <v>25327.455288371355</v>
      </c>
      <c r="J146" s="123">
        <f t="shared" si="32"/>
        <v>22133.577564500676</v>
      </c>
      <c r="K146" s="123">
        <f t="shared" si="32"/>
        <v>18906.584358429307</v>
      </c>
      <c r="L146" s="123">
        <f t="shared" si="32"/>
        <v>15643.273343821325</v>
      </c>
      <c r="M146" s="123">
        <f t="shared" si="32"/>
        <v>12340.251146979492</v>
      </c>
      <c r="N146" s="123">
        <f t="shared" si="32"/>
        <v>8993.9231758562964</v>
      </c>
      <c r="O146" s="123">
        <f t="shared" si="32"/>
        <v>5600.4829281431375</v>
      </c>
      <c r="P146" s="123">
        <f t="shared" si="32"/>
        <v>2155.9007521440944</v>
      </c>
      <c r="Q146" s="123">
        <f t="shared" si="32"/>
        <v>-202.67035207258732</v>
      </c>
      <c r="R146" s="123">
        <f t="shared" si="32"/>
        <v>-3762.5776108819136</v>
      </c>
      <c r="S146" s="123">
        <f t="shared" si="32"/>
        <v>-7387.1758385280618</v>
      </c>
      <c r="T146" s="123">
        <f t="shared" si="32"/>
        <v>-7387.1758385280618</v>
      </c>
      <c r="U146" s="123">
        <f t="shared" si="32"/>
        <v>-7387.1758385280618</v>
      </c>
      <c r="V146" s="123">
        <f t="shared" si="32"/>
        <v>-7387.1758385280618</v>
      </c>
      <c r="W146" s="123">
        <f t="shared" si="32"/>
        <v>-7387.1758385280618</v>
      </c>
      <c r="X146" s="123">
        <f t="shared" si="32"/>
        <v>-7387.1758385280618</v>
      </c>
      <c r="Y146" s="123">
        <f t="shared" si="32"/>
        <v>-7387.1758385280618</v>
      </c>
      <c r="Z146" s="123">
        <f t="shared" si="32"/>
        <v>-7387.1758385280618</v>
      </c>
      <c r="AA146" s="123">
        <f t="shared" si="32"/>
        <v>-7387.1758385280618</v>
      </c>
      <c r="AB146" s="123">
        <f t="shared" si="32"/>
        <v>-7387.1758385280618</v>
      </c>
      <c r="AC146" s="123">
        <f t="shared" si="32"/>
        <v>-7387.1758385280618</v>
      </c>
      <c r="AD146" s="123">
        <f t="shared" si="32"/>
        <v>-7387.1758385280618</v>
      </c>
      <c r="AE146" s="123">
        <f t="shared" si="32"/>
        <v>-7387.1758385280618</v>
      </c>
      <c r="AF146" s="123">
        <f t="shared" si="32"/>
        <v>-7387.1758385280618</v>
      </c>
      <c r="AG146" s="123">
        <f t="shared" si="32"/>
        <v>-7387.1758385280618</v>
      </c>
      <c r="AH146" s="123">
        <f t="shared" si="32"/>
        <v>-7387.1758385280618</v>
      </c>
      <c r="AI146" s="123">
        <f t="shared" si="32"/>
        <v>-7387.1758385280618</v>
      </c>
      <c r="AJ146" s="123">
        <f t="shared" si="32"/>
        <v>-7387.1758385280618</v>
      </c>
      <c r="AK146" s="123">
        <f t="shared" si="32"/>
        <v>-7387.1758385280618</v>
      </c>
      <c r="AL146" s="123">
        <f t="shared" si="32"/>
        <v>-7387.1758385280618</v>
      </c>
      <c r="AM146" s="123">
        <f t="shared" si="32"/>
        <v>-7387.1758385280618</v>
      </c>
      <c r="AN146" s="123">
        <f t="shared" si="32"/>
        <v>-7387.1758385280618</v>
      </c>
      <c r="AO146" s="123">
        <f t="shared" si="32"/>
        <v>-7387.1758385280618</v>
      </c>
      <c r="AP146" s="123">
        <f t="shared" si="32"/>
        <v>-7387.1758385280618</v>
      </c>
      <c r="AQ146" s="123">
        <f t="shared" si="32"/>
        <v>-7387.1758385280618</v>
      </c>
      <c r="AR146" s="387">
        <f t="shared" si="32"/>
        <v>-7387.1758385280618</v>
      </c>
    </row>
    <row r="147" spans="1:44" ht="13" thickBot="1" x14ac:dyDescent="0.3">
      <c r="B147" s="124" t="s">
        <v>473</v>
      </c>
      <c r="C147" s="125"/>
      <c r="D147" s="125"/>
      <c r="E147" s="126">
        <f t="shared" ref="E147:AR147" si="33">IF(E112&gt;$C$74,"",(-$C$94*(E139+$C$5*E118)+E132+$C$5*E118)/-E137)</f>
        <v>1.6084335739812285</v>
      </c>
      <c r="F147" s="126">
        <f t="shared" si="33"/>
        <v>1.5901522781429316</v>
      </c>
      <c r="G147" s="126">
        <f t="shared" si="33"/>
        <v>1.5713682665149125</v>
      </c>
      <c r="H147" s="126">
        <f t="shared" si="33"/>
        <v>1.5520646302877297</v>
      </c>
      <c r="I147" s="126">
        <f t="shared" si="33"/>
        <v>1.5322237797510692</v>
      </c>
      <c r="J147" s="126">
        <f t="shared" si="33"/>
        <v>1.5118274135394947</v>
      </c>
      <c r="K147" s="126">
        <f t="shared" si="33"/>
        <v>1.4908564864062992</v>
      </c>
      <c r="L147" s="126">
        <f t="shared" si="33"/>
        <v>1.469291175453181</v>
      </c>
      <c r="M147" s="126">
        <f t="shared" si="33"/>
        <v>1.4471108447398779</v>
      </c>
      <c r="N147" s="126">
        <f t="shared" si="33"/>
        <v>1.4242940081941309</v>
      </c>
      <c r="O147" s="126">
        <f t="shared" si="33"/>
        <v>1.4008182907383817</v>
      </c>
      <c r="P147" s="126">
        <f t="shared" si="33"/>
        <v>1.3766603875454761</v>
      </c>
      <c r="Q147" s="126">
        <f t="shared" si="33"/>
        <v>1.016605840958138</v>
      </c>
      <c r="R147" s="126">
        <f t="shared" si="33"/>
        <v>1.326199897587462</v>
      </c>
      <c r="S147" s="126">
        <f t="shared" si="33"/>
        <v>1.2998456576531972</v>
      </c>
      <c r="T147" s="126" t="str">
        <f t="shared" si="33"/>
        <v/>
      </c>
      <c r="U147" s="126" t="str">
        <f t="shared" si="33"/>
        <v/>
      </c>
      <c r="V147" s="126" t="str">
        <f t="shared" si="33"/>
        <v/>
      </c>
      <c r="W147" s="126" t="str">
        <f t="shared" si="33"/>
        <v/>
      </c>
      <c r="X147" s="126" t="str">
        <f t="shared" si="33"/>
        <v/>
      </c>
      <c r="Y147" s="126" t="str">
        <f t="shared" si="33"/>
        <v/>
      </c>
      <c r="Z147" s="126" t="str">
        <f t="shared" si="33"/>
        <v/>
      </c>
      <c r="AA147" s="126" t="str">
        <f t="shared" si="33"/>
        <v/>
      </c>
      <c r="AB147" s="126" t="str">
        <f t="shared" si="33"/>
        <v/>
      </c>
      <c r="AC147" s="126" t="str">
        <f t="shared" si="33"/>
        <v/>
      </c>
      <c r="AD147" s="126" t="str">
        <f t="shared" si="33"/>
        <v/>
      </c>
      <c r="AE147" s="126" t="str">
        <f t="shared" si="33"/>
        <v/>
      </c>
      <c r="AF147" s="126" t="str">
        <f t="shared" si="33"/>
        <v/>
      </c>
      <c r="AG147" s="126" t="str">
        <f t="shared" si="33"/>
        <v/>
      </c>
      <c r="AH147" s="126" t="str">
        <f t="shared" si="33"/>
        <v/>
      </c>
      <c r="AI147" s="126" t="str">
        <f t="shared" si="33"/>
        <v/>
      </c>
      <c r="AJ147" s="126" t="str">
        <f t="shared" si="33"/>
        <v/>
      </c>
      <c r="AK147" s="126" t="str">
        <f t="shared" si="33"/>
        <v/>
      </c>
      <c r="AL147" s="126" t="str">
        <f t="shared" si="33"/>
        <v/>
      </c>
      <c r="AM147" s="126" t="str">
        <f t="shared" si="33"/>
        <v/>
      </c>
      <c r="AN147" s="126" t="str">
        <f t="shared" si="33"/>
        <v/>
      </c>
      <c r="AO147" s="126" t="str">
        <f t="shared" si="33"/>
        <v/>
      </c>
      <c r="AP147" s="126" t="str">
        <f t="shared" si="33"/>
        <v/>
      </c>
      <c r="AQ147" s="126" t="str">
        <f t="shared" si="33"/>
        <v/>
      </c>
      <c r="AR147" s="127" t="str">
        <f t="shared" si="33"/>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-39796.887509092514</v>
      </c>
      <c r="D150" s="57" t="s">
        <v>476</v>
      </c>
    </row>
    <row r="151" spans="1:44" x14ac:dyDescent="0.25">
      <c r="B151" s="26" t="s">
        <v>477</v>
      </c>
      <c r="C151" s="153">
        <f>(1-$C$94)*NPV($C$91,E145:AR145)</f>
        <v>411272.73570611572</v>
      </c>
      <c r="D151" s="58" t="str">
        <f>$C$7</f>
        <v>kWh</v>
      </c>
      <c r="F151" s="59"/>
    </row>
    <row r="152" spans="1:44" x14ac:dyDescent="0.25">
      <c r="B152" s="26" t="s">
        <v>478</v>
      </c>
      <c r="C152" s="153">
        <f>$C$41*1000000</f>
        <v>40900</v>
      </c>
      <c r="D152" s="57" t="s">
        <v>424</v>
      </c>
      <c r="F152" s="60"/>
    </row>
    <row r="153" spans="1:44" x14ac:dyDescent="0.25">
      <c r="B153" s="26" t="s">
        <v>479</v>
      </c>
      <c r="C153" s="154">
        <f>AVERAGE(E147:AR147)</f>
        <v>1.4411835020995674</v>
      </c>
      <c r="D153" s="57"/>
      <c r="F153" s="60"/>
    </row>
    <row r="154" spans="1:44" x14ac:dyDescent="0.25">
      <c r="B154" s="26" t="s">
        <v>480</v>
      </c>
      <c r="C154" s="155" t="str">
        <f>CONCATENATE(ROUND(((1-$C$94)*$C$90*$C$92+$C$93*$C$91)*100,1),"% / ",ROUND((((1+(1-$C$94)*$C$90*$C$92+$C$93*$C$91)/(1+$C$89))-1)*100,1),"%")</f>
        <v>4.8% / 2.7%</v>
      </c>
      <c r="D154" s="57"/>
      <c r="F154" s="59"/>
      <c r="G154" s="61"/>
    </row>
    <row r="155" spans="1:44" x14ac:dyDescent="0.25">
      <c r="B155" s="26" t="s">
        <v>481</v>
      </c>
      <c r="C155" s="156" t="str">
        <f>IFERROR(IRR(D143:AR143),"n.v.t.")</f>
        <v>n.v.t.</v>
      </c>
      <c r="D155" s="57"/>
      <c r="F155" s="60"/>
      <c r="G155" s="61"/>
    </row>
    <row r="156" spans="1:44" x14ac:dyDescent="0.25">
      <c r="B156" s="26" t="s">
        <v>482</v>
      </c>
      <c r="C156" s="156" t="str">
        <f>IFERROR(IRR(D144:AR144),"n.v.t.")</f>
        <v>n.v.t.</v>
      </c>
      <c r="D156" s="57"/>
      <c r="G156" s="61"/>
    </row>
    <row r="157" spans="1:44" x14ac:dyDescent="0.25">
      <c r="B157" s="38" t="s">
        <v>483</v>
      </c>
      <c r="C157" s="153">
        <f>$C$92*C152-C97</f>
        <v>28630</v>
      </c>
      <c r="D157" s="57" t="s">
        <v>424</v>
      </c>
      <c r="F157" s="35"/>
    </row>
    <row r="158" spans="1:44" x14ac:dyDescent="0.25">
      <c r="B158" s="38" t="s">
        <v>484</v>
      </c>
      <c r="C158" s="153">
        <f>$C$93*C152-C98</f>
        <v>12270</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900</v>
      </c>
      <c r="D160" s="57" t="s">
        <v>340</v>
      </c>
      <c r="F160" s="35"/>
    </row>
    <row r="161" spans="2:44" x14ac:dyDescent="0.25">
      <c r="B161" s="43" t="s">
        <v>487</v>
      </c>
      <c r="C161" s="461" t="str">
        <f>CONCATENATE( "tussen ", INDEX(D112:X112, MATCH(0,D146:X146, -1)), " en ",  1 + INDEX(D112:X112, MATCH(0,D146:X146, -1)), " jaar")</f>
        <v>tussen 12 en 13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333" t="s">
        <v>46</v>
      </c>
      <c r="C164" s="419" t="str">
        <f>IF($C12="","","")</f>
        <v/>
      </c>
      <c r="D164" s="334" t="str">
        <f t="shared" ref="D164:D178" si="34">CONCATENATE("Euro/",$C$7)</f>
        <v>Euro/kWh</v>
      </c>
    </row>
    <row r="165" spans="2:44" ht="14.65" customHeight="1" x14ac:dyDescent="0.25">
      <c r="B165" s="65" t="s">
        <v>489</v>
      </c>
      <c r="C165" s="345" t="str">
        <f>IF(C15&gt;0,C166&amp;" / "&amp;C167,ROUND(VLOOKUP($C12,Correcties!$A$3:$H$11,8),3))</f>
        <v>0,035 / 0,092</v>
      </c>
      <c r="D165" s="57" t="str">
        <f t="shared" si="34"/>
        <v>Euro/kWh</v>
      </c>
    </row>
    <row r="166" spans="2:44" x14ac:dyDescent="0.25">
      <c r="B166" s="26" t="s">
        <v>490</v>
      </c>
      <c r="C166" s="140">
        <f>IFERROR(ROUND(INDEX(Correcties!$A$1:$I$11,MATCH(C15,Correcties!$A$1:$A$11,0),8),decimalen),"n.v.t.")</f>
        <v>3.5000000000000003E-2</v>
      </c>
      <c r="D166" s="57" t="str">
        <f t="shared" si="34"/>
        <v>Euro/kWh</v>
      </c>
    </row>
    <row r="167" spans="2:44" s="10" customFormat="1" x14ac:dyDescent="0.25">
      <c r="B167" s="27" t="s">
        <v>33</v>
      </c>
      <c r="C167" s="343">
        <f>IFERROR(ROUND(INDEX(Correcties!$A$1:$I$11,MATCH(C16,Correcties!$A$1:$A$11,0),8),decimalen),"n.v.t.")</f>
        <v>9.1999999999999998E-2</v>
      </c>
      <c r="D167" s="66" t="str">
        <f t="shared" si="34"/>
        <v>Euro/kWh</v>
      </c>
    </row>
    <row r="168" spans="2:44" s="10" customFormat="1" x14ac:dyDescent="0.25">
      <c r="B168" s="93" t="s">
        <v>491</v>
      </c>
      <c r="C168" s="342" t="str">
        <f>IF(C16&gt;0,"netlevering: "&amp;ROUND(VLOOKUP($C$15,Correcties!$A$3:$M$11,6,FALSE),decimalen)&amp;", niet-netlevering: "&amp;ROUND(VLOOKUP($C$16,Correcties!$A$3:$M$11,6,FALSE),decimalen))</f>
        <v>netlevering: 0,052, niet-netlevering: 0,109</v>
      </c>
      <c r="D168" s="94" t="str">
        <f t="shared" si="34"/>
        <v>Euro/kWh</v>
      </c>
    </row>
    <row r="169" spans="2:44" s="10" customFormat="1" x14ac:dyDescent="0.25">
      <c r="B169" s="26" t="str">
        <f>"Voorlopig correctiebedrag "&amp;Colofon!$C$29</f>
        <v>Voorlopig correctiebedrag 2025</v>
      </c>
      <c r="C169" s="140" t="str">
        <f>IF(C16&gt;0,"netlevering: "&amp;ROUND(VLOOKUP($C$15,Correcties!$A$3:$M$11,4,FALSE),decimalen)&amp;", niet-netlevering: "&amp;ROUND(VLOOKUP($C$16,Correcties!$A$3:$M$11,4,FALSE),decimalen))</f>
        <v>netlevering: 0,043, niet-netlevering: 0,107</v>
      </c>
      <c r="D169" s="57" t="str">
        <f t="shared" si="34"/>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t="str">
        <f>IF(C16&gt;0,"netlevering: "&amp;ROUND(VLOOKUP($C$15,Correcties!$A$3:$M$11,12,FALSE),decimalen)&amp;", niet-netlevering: "&amp;ROUND(VLOOKUP($C$16,Correcties!$A$3:$M$11,12,FALSE),decimalen))</f>
        <v>netlevering: 0,004, niet-netlevering: 0</v>
      </c>
      <c r="D170" s="94" t="str">
        <f t="shared" si="34"/>
        <v>Euro/kWh</v>
      </c>
    </row>
    <row r="171" spans="2:44" s="10" customFormat="1" x14ac:dyDescent="0.25">
      <c r="B171" s="65" t="s">
        <v>49</v>
      </c>
      <c r="C171" s="344">
        <f>IF(NOT(OR($C$13=6,$C$13=7,$C$13=9)),_xlfn.XLOOKUP($C$13,Correcties!A27:A39,Correcties!D27:D39,"foutmelding"),($C$22-1)/$C$22*Correcties!D69*IF($C$13=7,1,Correcties!D70)*IF($C$13=9,Correcties!D71,1))*IF(C159=0,1,C159/(1+C159))</f>
        <v>0</v>
      </c>
      <c r="D171" s="57" t="str">
        <f t="shared" si="34"/>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IF(C14="Nee",0,IF(NOT(OR($C$13=6,$C$13=7,$C$13=9)),_xlfn.XLOOKUP($C$13,Correcties!A27:A39,Correcties!F27:F39,"foutmelding"),($C$22-1)/$C$22*Correcties!H69*IF($C$13=7,1,Correcties!H70)*IF($C$13=9,Correcties!H71,1))*IF(C159=0,1,C159/(1+C159)))</f>
        <v>0</v>
      </c>
      <c r="D172" s="66" t="str">
        <f t="shared" si="34"/>
        <v>Euro/kWh</v>
      </c>
      <c r="F172" s="67"/>
      <c r="G172" s="67"/>
      <c r="H172" s="67"/>
      <c r="I172" s="67"/>
      <c r="J172" s="67"/>
      <c r="K172" s="67"/>
      <c r="L172" s="67"/>
      <c r="M172" s="67"/>
      <c r="N172" s="67"/>
      <c r="O172" s="67"/>
      <c r="P172" s="67"/>
    </row>
    <row r="173" spans="2:44" s="10" customFormat="1" ht="13.5" customHeight="1" x14ac:dyDescent="0.25">
      <c r="B173" s="68" t="s">
        <v>493</v>
      </c>
      <c r="C173" s="343">
        <f>IFERROR(ROUND(INDEX(Correcties!$A$1:$K$11,MATCH(C15,Correcties!$A$1:$A$11,0),6),decimalen),"n.v.t.")</f>
        <v>5.1999999999999998E-2</v>
      </c>
      <c r="D173" s="66" t="str">
        <f t="shared" si="34"/>
        <v>Euro/kWh</v>
      </c>
      <c r="F173" s="67"/>
      <c r="G173" s="67"/>
      <c r="H173" s="67"/>
      <c r="I173" s="67"/>
      <c r="J173" s="67"/>
      <c r="K173" s="67"/>
      <c r="L173" s="67"/>
      <c r="M173" s="67"/>
      <c r="N173" s="67"/>
      <c r="O173" s="67"/>
      <c r="P173" s="67"/>
    </row>
    <row r="174" spans="2:44" s="10" customFormat="1" ht="13.5" customHeight="1" x14ac:dyDescent="0.25">
      <c r="B174" s="65" t="s">
        <v>494</v>
      </c>
      <c r="C174" s="344">
        <f>IFERROR(ROUND(INDEX(Correcties!$A$1:$K$11,MATCH(C16,Correcties!$A$1:$A$11,0),6),decimalen),"n.v.t.")</f>
        <v>0.109</v>
      </c>
      <c r="D174" s="57" t="str">
        <f t="shared" si="34"/>
        <v>Euro/kWh</v>
      </c>
      <c r="F174" s="67"/>
      <c r="G174" s="67"/>
      <c r="H174" s="67"/>
      <c r="I174" s="67"/>
      <c r="J174" s="67"/>
      <c r="K174" s="67"/>
      <c r="L174" s="67"/>
      <c r="M174" s="67"/>
      <c r="N174" s="67"/>
      <c r="O174" s="67"/>
      <c r="P174" s="67"/>
    </row>
    <row r="175" spans="2:44" s="10" customFormat="1" x14ac:dyDescent="0.25">
      <c r="B175" s="333" t="str">
        <f>"Voorlopig correctiebedrag incl. GvO"&amp;Colofon!$B$21&amp;""</f>
        <v>Voorlopig correctiebedrag incl. GvO</v>
      </c>
      <c r="C175" s="420" t="str">
        <f>IF(C15&gt;0,"netlevering: "&amp;C176&amp;", niet-netlevering: "&amp;C177,ROUND(VLOOKUP($C21,Correcties!$A$3:$J$76,6),decimalen))</f>
        <v>netlevering: 0.047, niet-netlevering: 0.107</v>
      </c>
      <c r="D175" s="334" t="str">
        <f t="shared" si="34"/>
        <v>Euro/kWh</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4">
        <f>ROUND(VLOOKUP(C15,Correcties!$A$3:$K$11,10,FALSE),decimalen)</f>
        <v>4.7E-2</v>
      </c>
      <c r="D176" s="57" t="str">
        <f t="shared" si="34"/>
        <v>Euro/kWh</v>
      </c>
      <c r="F176" s="431"/>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343">
        <f>ROUND(VLOOKUP(C16,Correcties!$A$3:$K$11,10,FALSE),decimalen)</f>
        <v>0.107</v>
      </c>
      <c r="D177" s="66" t="str">
        <f t="shared" si="34"/>
        <v>Euro/kWh</v>
      </c>
      <c r="F177" s="67"/>
      <c r="G177" s="67"/>
      <c r="H177" s="67"/>
      <c r="I177" s="67"/>
      <c r="J177" s="67"/>
      <c r="K177" s="67"/>
      <c r="L177" s="67"/>
      <c r="M177" s="67"/>
      <c r="N177" s="67"/>
      <c r="O177" s="67"/>
      <c r="P177" s="67"/>
    </row>
    <row r="178" spans="2:16" s="10" customFormat="1" x14ac:dyDescent="0.25">
      <c r="B178" s="68" t="str">
        <f>"Voorlopige GvO-waarde "&amp;Colofon!$C$29</f>
        <v>Voorlopige GvO-waarde 2025</v>
      </c>
      <c r="C178" s="343">
        <f>ROUND(VLOOKUP($C$15,Correcties!$A$3:$M$11,12,FALSE),decimalen)</f>
        <v>4.0000000000000001E-3</v>
      </c>
      <c r="D178" s="66" t="str">
        <f t="shared" si="34"/>
        <v>Euro/kWh</v>
      </c>
      <c r="E178" s="67"/>
      <c r="F178" s="67"/>
      <c r="G178" s="67"/>
      <c r="H178" s="67"/>
      <c r="I178" s="67"/>
      <c r="J178" s="67"/>
      <c r="K178" s="67"/>
      <c r="L178" s="67"/>
      <c r="M178" s="67"/>
      <c r="N178" s="67"/>
      <c r="O178" s="67"/>
      <c r="P178" s="67"/>
    </row>
    <row r="179" spans="2:16" s="10" customFormat="1" x14ac:dyDescent="0.25">
      <c r="E179" s="67"/>
      <c r="F179" s="67"/>
      <c r="G179" s="67"/>
      <c r="H179" s="67"/>
      <c r="I179" s="67"/>
      <c r="J179" s="67"/>
      <c r="K179" s="67"/>
      <c r="L179" s="67"/>
      <c r="M179" s="67"/>
      <c r="N179" s="67"/>
      <c r="O179" s="67"/>
      <c r="P179" s="67"/>
    </row>
    <row r="180" spans="2:16" s="10" customFormat="1" x14ac:dyDescent="0.25">
      <c r="B180" s="102" t="s">
        <v>495</v>
      </c>
      <c r="C180" s="103" t="s">
        <v>79</v>
      </c>
      <c r="D180" s="128" t="s">
        <v>136</v>
      </c>
    </row>
    <row r="181" spans="2:16" s="10" customFormat="1" x14ac:dyDescent="0.25">
      <c r="B181" s="26" t="s">
        <v>496</v>
      </c>
      <c r="C181" s="69">
        <v>35.799999999999997</v>
      </c>
      <c r="D181" s="57" t="s">
        <v>497</v>
      </c>
    </row>
    <row r="182" spans="2:16" s="10" customFormat="1" x14ac:dyDescent="0.25">
      <c r="B182" s="26" t="s">
        <v>498</v>
      </c>
      <c r="C182" s="69">
        <v>31.65</v>
      </c>
      <c r="D182" s="57" t="s">
        <v>497</v>
      </c>
    </row>
    <row r="183" spans="2:16" s="10" customFormat="1" x14ac:dyDescent="0.25">
      <c r="B183" s="26" t="s">
        <v>499</v>
      </c>
      <c r="C183" s="69">
        <v>35.17</v>
      </c>
      <c r="D183" s="57" t="s">
        <v>497</v>
      </c>
    </row>
    <row r="184" spans="2:16" s="10" customFormat="1" x14ac:dyDescent="0.25">
      <c r="B184" s="27" t="s">
        <v>500</v>
      </c>
      <c r="C184" s="70">
        <v>3.6</v>
      </c>
      <c r="D184" s="66" t="s">
        <v>501</v>
      </c>
    </row>
    <row r="185" spans="2:16" s="10" customFormat="1" x14ac:dyDescent="0.25">
      <c r="E185" s="71"/>
    </row>
    <row r="186" spans="2:16" s="10" customFormat="1" x14ac:dyDescent="0.25"/>
    <row r="187" spans="2:16" x14ac:dyDescent="0.25">
      <c r="E187" s="10"/>
      <c r="F187" s="10"/>
      <c r="H187" s="10"/>
    </row>
    <row r="188" spans="2:16" x14ac:dyDescent="0.25">
      <c r="E188" s="10"/>
      <c r="F188" s="10"/>
      <c r="H188" s="10"/>
    </row>
    <row r="189" spans="2:16" x14ac:dyDescent="0.25">
      <c r="E189" s="10"/>
      <c r="F189" s="10"/>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9 G110:G114 G149:G160 G164:G168 G170">
    <cfRule type="containsText" dxfId="62" priority="4" operator="containsText" text="Pas op">
      <formula>NOT(ISERROR(SEARCH("Pas op",G19)))</formula>
    </cfRule>
  </conditionalFormatting>
  <conditionalFormatting sqref="G105">
    <cfRule type="containsText" dxfId="61" priority="2" operator="containsText" text="Pas op">
      <formula>NOT(ISERROR(SEARCH("Pas op",G105)))</formula>
    </cfRule>
  </conditionalFormatting>
  <conditionalFormatting sqref="G185:G1048576">
    <cfRule type="containsText" dxfId="60" priority="3" operator="containsText" text="Pas op">
      <formula>NOT(ISERROR(SEARCH("Pas op",G185)))</formula>
    </cfRule>
  </conditionalFormatting>
  <dataValidations disablePrompts="1" count="3">
    <dataValidation type="list" allowBlank="1" showInputMessage="1" showErrorMessage="1" sqref="C14" xr:uid="{FB87C56E-B154-46C3-A0D8-12A0E5D1259F}">
      <formula1>"Nee,Ja,Geen warmte"</formula1>
    </dataValidation>
    <dataValidation type="list" allowBlank="1" showInputMessage="1" showErrorMessage="1" sqref="C7" xr:uid="{80587794-C53C-49F6-B0C0-69FD12921FA0}">
      <formula1>"t CO2,kWh"</formula1>
    </dataValidation>
    <dataValidation type="list" allowBlank="1" showInputMessage="1" showErrorMessage="1" sqref="C37362 C102898 C168434 C233970 C299506 C365042 C430578 C496114 C561650 C627186 C692722 C758258 C823794 C889330 C954866" xr:uid="{A3868D73-2C71-47B1-B540-A41E57D9CF7E}">
      <formula1>"ja,nee"</formula1>
    </dataValidation>
  </dataValidations>
  <pageMargins left="0.7" right="0.7" top="0.75" bottom="0.75" header="0.3" footer="0.3"/>
  <pageSetup paperSize="9" scale="1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E34BA-3C79-4117-B898-4213A4E274D4}">
  <sheetPr codeName="Sheet93">
    <tabColor theme="7" tint="0.79998168889431442"/>
    <pageSetUpPr fitToPage="1"/>
  </sheetPr>
  <dimension ref="A1:AR199"/>
  <sheetViews>
    <sheetView showGridLines="0" zoomScaleNormal="100" workbookViewId="0">
      <selection activeCell="C16" sqref="C16"/>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502</v>
      </c>
      <c r="C2" s="32"/>
      <c r="D2" s="32"/>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0.1353</v>
      </c>
      <c r="D5" s="98" t="str">
        <f>CONCATENATE("Euro/",$C$7)</f>
        <v>Euro/kWh</v>
      </c>
      <c r="E5" s="447" t="s">
        <v>300</v>
      </c>
      <c r="F5" s="447"/>
      <c r="G5" s="447"/>
      <c r="H5" s="447"/>
      <c r="I5" s="447"/>
      <c r="J5" s="447"/>
      <c r="K5" s="447"/>
      <c r="L5" s="447"/>
      <c r="M5" s="448"/>
    </row>
    <row r="6" spans="1:44" ht="13" x14ac:dyDescent="0.3">
      <c r="B6" s="96" t="s">
        <v>301</v>
      </c>
      <c r="C6" s="135">
        <f>(ROUND(C5,4)-(ROUND(C173,4)+ROUND(C178,4)+ROUND(C172,4)))/ROUND(C70,4)*1000</f>
        <v>1652.0833333333335</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
        <v>308</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162"/>
      <c r="D12" s="105" t="str">
        <f>_xlfn.XLOOKUP(C12,Correcties!A4:A11,Correcties!B4:B11,"")</f>
        <v/>
      </c>
      <c r="E12" s="449">
        <f>IFERROR(INDEX(Correcties!$A$1:$I$301,MATCH('2'!C12,Correcties!$A$1:$A$301,0),5),"")</f>
        <v>0</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421">
        <v>6.3</v>
      </c>
      <c r="D15" s="99" t="str">
        <f>_xlfn.XLOOKUP(C15,Correcties!A4:A11,Correcties!B4:B11,"")</f>
        <v>Elektriciteit-ZonPV-netlevering (negatieve uren niet meegenomen)</v>
      </c>
      <c r="E15" s="447" t="str">
        <f>"Enkel relevant voor zon-pv. "&amp;_xlfn.XLOOKUP(C15,Correcties!A4:A11,Correcties!E4:E11,"")</f>
        <v>Enkel relevant voor zon-pv. EPEX2 x PIF_PV2</v>
      </c>
      <c r="F15" s="447"/>
      <c r="G15" s="447"/>
      <c r="H15" s="447"/>
      <c r="I15" s="447"/>
      <c r="J15" s="447"/>
      <c r="K15" s="447"/>
      <c r="L15" s="447"/>
      <c r="M15" s="448"/>
    </row>
    <row r="16" spans="1:44" x14ac:dyDescent="0.25">
      <c r="B16" s="96" t="s">
        <v>319</v>
      </c>
      <c r="C16" s="421" t="s">
        <v>113</v>
      </c>
      <c r="D16" s="99" t="str">
        <f>_xlfn.XLOOKUP(C16,Correcties!A4:A11,Correcties!B4:B11,"")</f>
        <v>Elektricteit-ZonPV-niet-netlevering, klein (negatieve uren niet meegenomen)</v>
      </c>
      <c r="E16" s="447" t="str">
        <f>"Enkel relevant voor zon-pv. "&amp;_xlfn.XLOOKUP(C16,Correcties!A4:A11,Correcties!E4:E11,"")</f>
        <v>Enkel relevant voor zon-pv. EPEX2 x PIF_PV + EB3_e + ODE3_e + transport</v>
      </c>
      <c r="F16" s="447"/>
      <c r="G16" s="447"/>
      <c r="H16" s="447"/>
      <c r="I16" s="447"/>
      <c r="J16" s="447"/>
      <c r="K16" s="447"/>
      <c r="L16" s="447"/>
      <c r="M16" s="448"/>
    </row>
    <row r="17" spans="2:13" x14ac:dyDescent="0.25">
      <c r="B17" s="96" t="s">
        <v>320</v>
      </c>
      <c r="C17" s="163"/>
      <c r="D17" s="99"/>
      <c r="E17" s="447" t="s">
        <v>321</v>
      </c>
      <c r="F17" s="447"/>
      <c r="G17" s="447"/>
      <c r="H17" s="447"/>
      <c r="I17" s="447"/>
      <c r="J17" s="447"/>
      <c r="K17" s="447"/>
      <c r="L17" s="447"/>
      <c r="M17" s="448"/>
    </row>
    <row r="18" spans="2:13" x14ac:dyDescent="0.25">
      <c r="B18" s="97" t="s">
        <v>322</v>
      </c>
      <c r="C18" s="164"/>
      <c r="D18" s="107"/>
      <c r="E18" s="451" t="s">
        <v>323</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150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IF(C23="JA",IF(C24&lt;&gt;"",C21*C180/C176/C24,0),0)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IF(C23="JA",IF(C26=0,,C26*C180/C177),0)</f>
        <v>0</v>
      </c>
      <c r="D27" s="99" t="s">
        <v>333</v>
      </c>
      <c r="E27" s="447"/>
      <c r="F27" s="447"/>
      <c r="G27" s="447"/>
      <c r="H27" s="447"/>
      <c r="I27" s="447"/>
      <c r="J27" s="447"/>
      <c r="K27" s="447"/>
      <c r="L27" s="447"/>
      <c r="M27" s="448"/>
    </row>
    <row r="28" spans="2:13" x14ac:dyDescent="0.25">
      <c r="B28" s="96" t="s">
        <v>337</v>
      </c>
      <c r="C28" s="167">
        <v>150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730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v>585</v>
      </c>
      <c r="D39" s="99" t="str">
        <f>CONCATENATE("Euro/",$C$8)</f>
        <v>Euro/kW</v>
      </c>
      <c r="E39" s="447" t="s">
        <v>352</v>
      </c>
      <c r="F39" s="447"/>
      <c r="G39" s="447"/>
      <c r="H39" s="447"/>
      <c r="I39" s="447"/>
      <c r="J39" s="447"/>
      <c r="K39" s="447"/>
      <c r="L39" s="447"/>
      <c r="M39" s="448"/>
    </row>
    <row r="40" spans="2:13" x14ac:dyDescent="0.25">
      <c r="B40" s="109" t="s">
        <v>353</v>
      </c>
      <c r="C40" s="160"/>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8.8749999999999996E-2</v>
      </c>
      <c r="D41" s="99" t="s">
        <v>355</v>
      </c>
      <c r="E41" s="453"/>
      <c r="F41" s="447"/>
      <c r="G41" s="447"/>
      <c r="H41" s="447"/>
      <c r="I41" s="447"/>
      <c r="J41" s="447"/>
      <c r="K41" s="447"/>
      <c r="L41" s="447"/>
      <c r="M41" s="448"/>
    </row>
    <row r="42" spans="2:13" x14ac:dyDescent="0.25">
      <c r="B42" s="109" t="s">
        <v>356</v>
      </c>
      <c r="C42" s="165">
        <v>32</v>
      </c>
      <c r="D42" s="99" t="str">
        <f>CONCATENATE("Euro/",$C$8,"/jaar")</f>
        <v>Euro/kW/jaar</v>
      </c>
      <c r="E42" s="447" t="s">
        <v>357</v>
      </c>
      <c r="F42" s="447"/>
      <c r="G42" s="447"/>
      <c r="H42" s="447"/>
      <c r="I42" s="447"/>
      <c r="J42" s="447"/>
      <c r="K42" s="447"/>
      <c r="L42" s="447"/>
      <c r="M42" s="448"/>
    </row>
    <row r="43" spans="2:13" x14ac:dyDescent="0.25">
      <c r="B43" s="109" t="s">
        <v>358</v>
      </c>
      <c r="C43" s="165"/>
      <c r="D43" s="99" t="str">
        <f>CONCATENATE("Euro/",$C$8,"/jaar")</f>
        <v>Euro/kW/jaar</v>
      </c>
      <c r="E43" s="447" t="s">
        <v>357</v>
      </c>
      <c r="F43" s="447"/>
      <c r="G43" s="447"/>
      <c r="H43" s="447"/>
      <c r="I43" s="447"/>
      <c r="J43" s="447"/>
      <c r="K43" s="447"/>
      <c r="L43" s="447"/>
      <c r="M43" s="448"/>
    </row>
    <row r="44" spans="2:13" x14ac:dyDescent="0.25">
      <c r="B44" s="96" t="s">
        <v>359</v>
      </c>
      <c r="C44" s="141">
        <f>(C42*C21+C43*SUM(C26,C28))/1000</f>
        <v>4.8</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2.8999999999999998E-3</v>
      </c>
      <c r="D48" s="99" t="str">
        <f>CONCATENATE("Euro/",$C$7)</f>
        <v>Euro/kWh</v>
      </c>
      <c r="E48" s="447"/>
      <c r="F48" s="447"/>
      <c r="G48" s="447"/>
      <c r="H48" s="447"/>
      <c r="I48" s="447"/>
      <c r="J48" s="447"/>
      <c r="K48" s="447"/>
      <c r="L48" s="447"/>
      <c r="M48" s="448"/>
    </row>
    <row r="49" spans="2:13" x14ac:dyDescent="0.25">
      <c r="B49" s="97" t="s">
        <v>366</v>
      </c>
      <c r="C49" s="142">
        <f>SUM(C45:C48)</f>
        <v>2.8999999999999998E-3</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IF(C52=0,,C21*MAX(C29,C30)*C180/C52/1000)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4.8000000000000001E-2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4.8000000000000001E-2</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15</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t="s">
        <v>503</v>
      </c>
      <c r="D80" s="99" t="s">
        <v>406</v>
      </c>
      <c r="E80" s="447" t="s">
        <v>407</v>
      </c>
      <c r="F80" s="447"/>
      <c r="G80" s="447"/>
      <c r="H80" s="447"/>
      <c r="I80" s="447"/>
      <c r="J80" s="447"/>
      <c r="K80" s="447"/>
      <c r="L80" s="447"/>
      <c r="M80" s="448"/>
    </row>
    <row r="81" spans="2:13" x14ac:dyDescent="0.25">
      <c r="B81" s="96" t="s">
        <v>408</v>
      </c>
      <c r="C81" s="171" t="s">
        <v>503</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1642500</v>
      </c>
      <c r="D84" s="98" t="str">
        <f>C7</f>
        <v>kWh</v>
      </c>
      <c r="E84" s="447"/>
      <c r="F84" s="447"/>
      <c r="G84" s="447"/>
      <c r="H84" s="447"/>
      <c r="I84" s="447"/>
      <c r="J84" s="447"/>
      <c r="K84" s="447"/>
      <c r="L84" s="447"/>
      <c r="M84" s="448"/>
    </row>
    <row r="85" spans="2:13" x14ac:dyDescent="0.25">
      <c r="B85" s="113" t="s">
        <v>413</v>
      </c>
      <c r="C85" s="145">
        <f>IF(C77=0,SUM(E118:INDEX(E118:AR118,1,C73)),SUM(E118:INDEX(E118:AR118,1,C77)))</f>
        <v>1642500</v>
      </c>
      <c r="D85" s="98" t="str">
        <f>C7</f>
        <v>kWh</v>
      </c>
      <c r="E85" s="447"/>
      <c r="F85" s="447"/>
      <c r="G85" s="447"/>
      <c r="H85" s="447"/>
      <c r="I85" s="447"/>
      <c r="J85" s="447"/>
      <c r="K85" s="447"/>
      <c r="L85" s="447"/>
      <c r="M85" s="448"/>
    </row>
    <row r="86" spans="2:13" x14ac:dyDescent="0.25">
      <c r="B86" s="114" t="s">
        <v>414</v>
      </c>
      <c r="C86" s="146">
        <f>C85/C84</f>
        <v>1</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312">
        <v>4.7500000000000001E-2</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v>
      </c>
      <c r="D92" s="99"/>
      <c r="E92" s="447"/>
      <c r="F92" s="447"/>
      <c r="G92" s="447"/>
      <c r="H92" s="447"/>
      <c r="I92" s="447"/>
      <c r="J92" s="447"/>
      <c r="K92" s="447"/>
      <c r="L92" s="447"/>
      <c r="M92" s="448"/>
    </row>
    <row r="93" spans="2:13" x14ac:dyDescent="0.25">
      <c r="B93" s="96" t="s">
        <v>420</v>
      </c>
      <c r="C93" s="46">
        <v>0.3</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t="s">
        <v>79</v>
      </c>
      <c r="D100" s="103"/>
      <c r="E100" s="445" t="s">
        <v>63</v>
      </c>
      <c r="F100" s="445"/>
      <c r="G100" s="445"/>
      <c r="H100" s="445"/>
      <c r="I100" s="445"/>
      <c r="J100" s="445"/>
      <c r="K100" s="445"/>
      <c r="L100" s="445"/>
      <c r="M100" s="446"/>
    </row>
    <row r="101" spans="1:44" x14ac:dyDescent="0.25">
      <c r="B101" s="108" t="s">
        <v>79</v>
      </c>
      <c r="C101" s="173">
        <v>13</v>
      </c>
      <c r="D101" s="174">
        <v>-2250</v>
      </c>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v>1000</v>
      </c>
      <c r="D103" s="99"/>
      <c r="E103" s="284" t="s">
        <v>429</v>
      </c>
      <c r="F103" s="284"/>
      <c r="G103" s="284"/>
      <c r="H103" s="284"/>
      <c r="I103" s="284"/>
      <c r="J103" s="284"/>
      <c r="K103" s="284"/>
      <c r="L103" s="284"/>
      <c r="M103" s="285"/>
    </row>
    <row r="104" spans="1:44" x14ac:dyDescent="0.25">
      <c r="B104" s="114" t="s">
        <v>430</v>
      </c>
      <c r="C104" s="50"/>
      <c r="D104" s="107"/>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-88750</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109500</v>
      </c>
      <c r="F115" s="379">
        <f t="shared" si="4"/>
        <v>109500</v>
      </c>
      <c r="G115" s="379">
        <f t="shared" si="4"/>
        <v>109500</v>
      </c>
      <c r="H115" s="379">
        <f t="shared" si="4"/>
        <v>109500</v>
      </c>
      <c r="I115" s="379">
        <f t="shared" si="4"/>
        <v>109500</v>
      </c>
      <c r="J115" s="379">
        <f t="shared" si="4"/>
        <v>109500</v>
      </c>
      <c r="K115" s="379">
        <f t="shared" si="4"/>
        <v>109500</v>
      </c>
      <c r="L115" s="379">
        <f t="shared" si="4"/>
        <v>109500</v>
      </c>
      <c r="M115" s="379">
        <f t="shared" si="4"/>
        <v>109500</v>
      </c>
      <c r="N115" s="379">
        <f t="shared" si="4"/>
        <v>109500</v>
      </c>
      <c r="O115" s="379">
        <f t="shared" si="4"/>
        <v>109500</v>
      </c>
      <c r="P115" s="379">
        <f t="shared" si="4"/>
        <v>109500</v>
      </c>
      <c r="Q115" s="379">
        <f t="shared" si="4"/>
        <v>109500</v>
      </c>
      <c r="R115" s="379">
        <f t="shared" si="4"/>
        <v>109500</v>
      </c>
      <c r="S115" s="379">
        <f t="shared" si="4"/>
        <v>109500</v>
      </c>
      <c r="T115" s="379">
        <f t="shared" si="4"/>
        <v>0</v>
      </c>
      <c r="U115" s="379">
        <f t="shared" si="4"/>
        <v>0</v>
      </c>
      <c r="V115" s="379">
        <f t="shared" si="4"/>
        <v>0</v>
      </c>
      <c r="W115" s="379">
        <f t="shared" si="4"/>
        <v>0</v>
      </c>
      <c r="X115" s="379">
        <f t="shared" si="4"/>
        <v>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IF(OR(E112&gt;$C$73,$C$23&lt;&gt;"JA"),0,$C$26*$C$29*$C$183/$C$182)</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109500</v>
      </c>
      <c r="F118" s="150">
        <f t="shared" ref="F118:AR118" si="7">SUM(F115:F117)</f>
        <v>109500</v>
      </c>
      <c r="G118" s="150">
        <f t="shared" si="7"/>
        <v>109500</v>
      </c>
      <c r="H118" s="150">
        <f t="shared" si="7"/>
        <v>109500</v>
      </c>
      <c r="I118" s="150">
        <f t="shared" si="7"/>
        <v>109500</v>
      </c>
      <c r="J118" s="150">
        <f t="shared" si="7"/>
        <v>109500</v>
      </c>
      <c r="K118" s="150">
        <f t="shared" si="7"/>
        <v>109500</v>
      </c>
      <c r="L118" s="150">
        <f t="shared" si="7"/>
        <v>109500</v>
      </c>
      <c r="M118" s="150">
        <f t="shared" si="7"/>
        <v>109500</v>
      </c>
      <c r="N118" s="150">
        <f t="shared" si="7"/>
        <v>109500</v>
      </c>
      <c r="O118" s="150">
        <f t="shared" si="7"/>
        <v>109500</v>
      </c>
      <c r="P118" s="150">
        <f t="shared" si="7"/>
        <v>109500</v>
      </c>
      <c r="Q118" s="150">
        <f t="shared" si="7"/>
        <v>109500</v>
      </c>
      <c r="R118" s="150">
        <f t="shared" si="7"/>
        <v>109500</v>
      </c>
      <c r="S118" s="150">
        <f t="shared" si="7"/>
        <v>109500</v>
      </c>
      <c r="T118" s="150">
        <f t="shared" si="7"/>
        <v>0</v>
      </c>
      <c r="U118" s="150">
        <f t="shared" si="7"/>
        <v>0</v>
      </c>
      <c r="V118" s="150">
        <f t="shared" si="7"/>
        <v>0</v>
      </c>
      <c r="W118" s="150">
        <f t="shared" si="7"/>
        <v>0</v>
      </c>
      <c r="X118" s="150">
        <f t="shared" si="7"/>
        <v>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-5117.55</v>
      </c>
      <c r="F120" s="379">
        <f t="shared" ref="F120:AR120" si="8">IF(F112&gt;$C$73,0,-F109*(($C$42*$C$21+$C$43*SUM($C$26,$C$28))+F118*$C$49))+IF($C$101=F112,$D$101*F109,0)+IF($C$102=F112,$D$102*F109,0)+IF($C$103=F112,$D$103*F109,0)</f>
        <v>-5219.9009999999998</v>
      </c>
      <c r="G120" s="379">
        <f t="shared" si="8"/>
        <v>-5324.2990200000004</v>
      </c>
      <c r="H120" s="379">
        <f t="shared" si="8"/>
        <v>-5430.7850004000002</v>
      </c>
      <c r="I120" s="379">
        <f t="shared" si="8"/>
        <v>-5539.4007004080004</v>
      </c>
      <c r="J120" s="379">
        <f t="shared" si="8"/>
        <v>-5650.1887144161601</v>
      </c>
      <c r="K120" s="379">
        <f t="shared" si="8"/>
        <v>-5763.1924887044834</v>
      </c>
      <c r="L120" s="379">
        <f t="shared" si="8"/>
        <v>-5878.4563384785724</v>
      </c>
      <c r="M120" s="379">
        <f t="shared" si="8"/>
        <v>-5996.0254652481444</v>
      </c>
      <c r="N120" s="379">
        <f t="shared" si="8"/>
        <v>-6115.9459745531067</v>
      </c>
      <c r="O120" s="379">
        <f t="shared" si="8"/>
        <v>-6238.2648940441695</v>
      </c>
      <c r="P120" s="379">
        <f t="shared" si="8"/>
        <v>-6363.0301919250514</v>
      </c>
      <c r="Q120" s="379">
        <f t="shared" si="8"/>
        <v>-9343.8348335292794</v>
      </c>
      <c r="R120" s="379">
        <f t="shared" si="8"/>
        <v>-6620.096611678824</v>
      </c>
      <c r="S120" s="379">
        <f t="shared" si="8"/>
        <v>-6752.4985439124021</v>
      </c>
      <c r="T120" s="379">
        <f t="shared" si="8"/>
        <v>0</v>
      </c>
      <c r="U120" s="379">
        <f t="shared" si="8"/>
        <v>0</v>
      </c>
      <c r="V120" s="379">
        <f t="shared" si="8"/>
        <v>0</v>
      </c>
      <c r="W120" s="379">
        <f t="shared" si="8"/>
        <v>0</v>
      </c>
      <c r="X120" s="379">
        <f t="shared" si="8"/>
        <v>0</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-E109*$C$54/$C$52*$C$21*MAX($C$29,$C$30)*$C$184/1000)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0</v>
      </c>
      <c r="U122" s="382">
        <f t="shared" si="10"/>
        <v>0</v>
      </c>
      <c r="V122" s="382">
        <f t="shared" si="10"/>
        <v>0</v>
      </c>
      <c r="W122" s="382">
        <f t="shared" si="10"/>
        <v>0</v>
      </c>
      <c r="X122" s="382">
        <f t="shared" si="10"/>
        <v>0</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0</v>
      </c>
      <c r="U127" s="379">
        <f t="shared" si="15"/>
        <v>0</v>
      </c>
      <c r="V127" s="379">
        <f t="shared" si="15"/>
        <v>0</v>
      </c>
      <c r="W127" s="379">
        <f t="shared" si="15"/>
        <v>0</v>
      </c>
      <c r="X127" s="379">
        <f t="shared" si="15"/>
        <v>0</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0</v>
      </c>
      <c r="U130" s="379">
        <f t="shared" si="17"/>
        <v>0</v>
      </c>
      <c r="V130" s="379">
        <f t="shared" si="17"/>
        <v>0</v>
      </c>
      <c r="W130" s="379">
        <f t="shared" si="17"/>
        <v>0</v>
      </c>
      <c r="X130" s="379">
        <f t="shared" si="17"/>
        <v>0</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-5117.55</v>
      </c>
      <c r="F131" s="379">
        <f t="shared" si="18"/>
        <v>-5219.9009999999998</v>
      </c>
      <c r="G131" s="379">
        <f t="shared" si="18"/>
        <v>-5324.2990200000004</v>
      </c>
      <c r="H131" s="379">
        <f t="shared" si="18"/>
        <v>-5430.7850004000002</v>
      </c>
      <c r="I131" s="379">
        <f t="shared" si="18"/>
        <v>-5539.4007004080004</v>
      </c>
      <c r="J131" s="379">
        <f t="shared" si="18"/>
        <v>-5650.1887144161601</v>
      </c>
      <c r="K131" s="379">
        <f t="shared" si="18"/>
        <v>-5763.1924887044834</v>
      </c>
      <c r="L131" s="379">
        <f t="shared" si="18"/>
        <v>-5878.4563384785724</v>
      </c>
      <c r="M131" s="379">
        <f t="shared" si="18"/>
        <v>-5996.0254652481444</v>
      </c>
      <c r="N131" s="379">
        <f t="shared" si="18"/>
        <v>-6115.9459745531067</v>
      </c>
      <c r="O131" s="379">
        <f t="shared" si="18"/>
        <v>-6238.2648940441695</v>
      </c>
      <c r="P131" s="379">
        <f t="shared" si="18"/>
        <v>-6363.0301919250514</v>
      </c>
      <c r="Q131" s="379">
        <f t="shared" si="18"/>
        <v>-9343.8348335292794</v>
      </c>
      <c r="R131" s="379">
        <f t="shared" si="18"/>
        <v>-6620.096611678824</v>
      </c>
      <c r="S131" s="379">
        <f t="shared" si="18"/>
        <v>-6752.4985439124021</v>
      </c>
      <c r="T131" s="379">
        <f t="shared" si="18"/>
        <v>0</v>
      </c>
      <c r="U131" s="379">
        <f t="shared" si="18"/>
        <v>0</v>
      </c>
      <c r="V131" s="379">
        <f t="shared" si="18"/>
        <v>0</v>
      </c>
      <c r="W131" s="379">
        <f t="shared" si="18"/>
        <v>0</v>
      </c>
      <c r="X131" s="379">
        <f t="shared" si="18"/>
        <v>0</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-5117.55</v>
      </c>
      <c r="F132" s="386">
        <f t="shared" ref="F132:AR132" si="19">SUM(F130:F131)</f>
        <v>-5219.9009999999998</v>
      </c>
      <c r="G132" s="386">
        <f t="shared" si="19"/>
        <v>-5324.2990200000004</v>
      </c>
      <c r="H132" s="386">
        <f t="shared" si="19"/>
        <v>-5430.7850004000002</v>
      </c>
      <c r="I132" s="386">
        <f t="shared" si="19"/>
        <v>-5539.4007004080004</v>
      </c>
      <c r="J132" s="386">
        <f t="shared" si="19"/>
        <v>-5650.1887144161601</v>
      </c>
      <c r="K132" s="386">
        <f t="shared" si="19"/>
        <v>-5763.1924887044834</v>
      </c>
      <c r="L132" s="386">
        <f t="shared" si="19"/>
        <v>-5878.4563384785724</v>
      </c>
      <c r="M132" s="386">
        <f t="shared" si="19"/>
        <v>-5996.0254652481444</v>
      </c>
      <c r="N132" s="386">
        <f t="shared" si="19"/>
        <v>-6115.9459745531067</v>
      </c>
      <c r="O132" s="386">
        <f t="shared" si="19"/>
        <v>-6238.2648940441695</v>
      </c>
      <c r="P132" s="386">
        <f t="shared" si="19"/>
        <v>-6363.0301919250514</v>
      </c>
      <c r="Q132" s="386">
        <f t="shared" si="19"/>
        <v>-9343.8348335292794</v>
      </c>
      <c r="R132" s="386">
        <f t="shared" si="19"/>
        <v>-6620.096611678824</v>
      </c>
      <c r="S132" s="386">
        <f t="shared" si="19"/>
        <v>-6752.4985439124021</v>
      </c>
      <c r="T132" s="386">
        <f t="shared" si="19"/>
        <v>0</v>
      </c>
      <c r="U132" s="386">
        <f t="shared" si="19"/>
        <v>0</v>
      </c>
      <c r="V132" s="386">
        <f t="shared" si="19"/>
        <v>0</v>
      </c>
      <c r="W132" s="386">
        <f t="shared" si="19"/>
        <v>0</v>
      </c>
      <c r="X132" s="386">
        <f t="shared" si="19"/>
        <v>0</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-5916.666666666667</v>
      </c>
      <c r="F134" s="379">
        <f t="shared" si="20"/>
        <v>-5916.666666666667</v>
      </c>
      <c r="G134" s="379">
        <f t="shared" si="20"/>
        <v>-5916.666666666667</v>
      </c>
      <c r="H134" s="379">
        <f t="shared" si="20"/>
        <v>-5916.666666666667</v>
      </c>
      <c r="I134" s="379">
        <f t="shared" si="20"/>
        <v>-5916.666666666667</v>
      </c>
      <c r="J134" s="379">
        <f t="shared" si="20"/>
        <v>-5916.666666666667</v>
      </c>
      <c r="K134" s="379">
        <f t="shared" si="20"/>
        <v>-5916.666666666667</v>
      </c>
      <c r="L134" s="379">
        <f t="shared" si="20"/>
        <v>-5916.666666666667</v>
      </c>
      <c r="M134" s="379">
        <f t="shared" si="20"/>
        <v>-5916.666666666667</v>
      </c>
      <c r="N134" s="379">
        <f t="shared" si="20"/>
        <v>-5916.666666666667</v>
      </c>
      <c r="O134" s="379">
        <f t="shared" si="20"/>
        <v>-5916.666666666667</v>
      </c>
      <c r="P134" s="379">
        <f t="shared" si="20"/>
        <v>-5916.666666666667</v>
      </c>
      <c r="Q134" s="379">
        <f t="shared" si="20"/>
        <v>-5916.666666666667</v>
      </c>
      <c r="R134" s="379">
        <f t="shared" si="20"/>
        <v>-5916.666666666667</v>
      </c>
      <c r="S134" s="379">
        <f t="shared" si="20"/>
        <v>-5916.666666666667</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-2950.9374999999995</v>
      </c>
      <c r="F135" s="379">
        <f t="shared" si="21"/>
        <v>-2811.5908836744243</v>
      </c>
      <c r="G135" s="379">
        <f t="shared" si="21"/>
        <v>-2665.6253030733842</v>
      </c>
      <c r="H135" s="379">
        <f t="shared" si="21"/>
        <v>-2512.7263573937953</v>
      </c>
      <c r="I135" s="379">
        <f t="shared" si="21"/>
        <v>-2352.5647117944254</v>
      </c>
      <c r="J135" s="379">
        <f t="shared" si="21"/>
        <v>-2184.7953880290861</v>
      </c>
      <c r="K135" s="379">
        <f t="shared" si="21"/>
        <v>-2009.0570213848923</v>
      </c>
      <c r="L135" s="379">
        <f t="shared" si="21"/>
        <v>-1824.9710823250998</v>
      </c>
      <c r="M135" s="379">
        <f t="shared" si="21"/>
        <v>-1632.1410611599672</v>
      </c>
      <c r="N135" s="379">
        <f t="shared" si="21"/>
        <v>-1430.1516139894909</v>
      </c>
      <c r="O135" s="379">
        <f t="shared" si="21"/>
        <v>-1218.5676680784168</v>
      </c>
      <c r="P135" s="379">
        <f t="shared" si="21"/>
        <v>-996.93348473656658</v>
      </c>
      <c r="Q135" s="379">
        <f t="shared" si="21"/>
        <v>-764.77167768597837</v>
      </c>
      <c r="R135" s="379">
        <f t="shared" si="21"/>
        <v>-521.58218480048731</v>
      </c>
      <c r="S135" s="379">
        <f t="shared" si="21"/>
        <v>-266.84119100293555</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-2933.6129752752631</v>
      </c>
      <c r="F136" s="379">
        <f t="shared" si="22"/>
        <v>-3072.9595916008379</v>
      </c>
      <c r="G136" s="379">
        <f t="shared" si="22"/>
        <v>-3218.925172201878</v>
      </c>
      <c r="H136" s="379">
        <f t="shared" si="22"/>
        <v>-3371.8241178814669</v>
      </c>
      <c r="I136" s="379">
        <f t="shared" si="22"/>
        <v>-3531.9857634808363</v>
      </c>
      <c r="J136" s="379">
        <f t="shared" si="22"/>
        <v>-3699.7550872461761</v>
      </c>
      <c r="K136" s="379">
        <f t="shared" si="22"/>
        <v>-3875.4934538903703</v>
      </c>
      <c r="L136" s="379">
        <f t="shared" si="22"/>
        <v>-4059.5793929501624</v>
      </c>
      <c r="M136" s="379">
        <f t="shared" si="22"/>
        <v>-4252.4094141152946</v>
      </c>
      <c r="N136" s="379">
        <f t="shared" si="22"/>
        <v>-4454.3988612857711</v>
      </c>
      <c r="O136" s="379">
        <f t="shared" si="22"/>
        <v>-4665.9828071968459</v>
      </c>
      <c r="P136" s="379">
        <f t="shared" si="22"/>
        <v>-4887.6169905386969</v>
      </c>
      <c r="Q136" s="379">
        <f t="shared" si="22"/>
        <v>-5119.7787975892843</v>
      </c>
      <c r="R136" s="379">
        <f t="shared" si="22"/>
        <v>-5362.9682904747751</v>
      </c>
      <c r="S136" s="379">
        <f t="shared" si="22"/>
        <v>-5617.7092842723268</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-5884.5504752752622</v>
      </c>
      <c r="F137" s="386">
        <f t="shared" ref="F137:AR137" si="23">SUM(F135,F136)</f>
        <v>-5884.5504752752622</v>
      </c>
      <c r="G137" s="386">
        <f t="shared" si="23"/>
        <v>-5884.5504752752622</v>
      </c>
      <c r="H137" s="386">
        <f t="shared" si="23"/>
        <v>-5884.5504752752622</v>
      </c>
      <c r="I137" s="386">
        <f t="shared" si="23"/>
        <v>-5884.5504752752622</v>
      </c>
      <c r="J137" s="386">
        <f t="shared" si="23"/>
        <v>-5884.5504752752622</v>
      </c>
      <c r="K137" s="386">
        <f t="shared" si="23"/>
        <v>-5884.5504752752622</v>
      </c>
      <c r="L137" s="386">
        <f t="shared" si="23"/>
        <v>-5884.5504752752622</v>
      </c>
      <c r="M137" s="386">
        <f t="shared" si="23"/>
        <v>-5884.5504752752622</v>
      </c>
      <c r="N137" s="386">
        <f t="shared" si="23"/>
        <v>-5884.5504752752622</v>
      </c>
      <c r="O137" s="386">
        <f t="shared" si="23"/>
        <v>-5884.5504752752622</v>
      </c>
      <c r="P137" s="386">
        <f t="shared" si="23"/>
        <v>-5884.5504752752631</v>
      </c>
      <c r="Q137" s="386">
        <f t="shared" si="23"/>
        <v>-5884.5504752752622</v>
      </c>
      <c r="R137" s="386">
        <f t="shared" si="23"/>
        <v>-5884.5504752752622</v>
      </c>
      <c r="S137" s="386">
        <f t="shared" si="23"/>
        <v>-5884.5504752752622</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-13985.154166666667</v>
      </c>
      <c r="F139" s="379">
        <f t="shared" ref="F139:AR139" si="24">F132+F134+F135</f>
        <v>-13948.15855034109</v>
      </c>
      <c r="G139" s="379">
        <f t="shared" si="24"/>
        <v>-13906.590989740051</v>
      </c>
      <c r="H139" s="379">
        <f t="shared" si="24"/>
        <v>-13860.178024460463</v>
      </c>
      <c r="I139" s="379">
        <f t="shared" si="24"/>
        <v>-13808.632078869094</v>
      </c>
      <c r="J139" s="379">
        <f t="shared" si="24"/>
        <v>-13751.650769111913</v>
      </c>
      <c r="K139" s="379">
        <f t="shared" si="24"/>
        <v>-13688.916176756044</v>
      </c>
      <c r="L139" s="379">
        <f t="shared" si="24"/>
        <v>-13620.094087470341</v>
      </c>
      <c r="M139" s="379">
        <f t="shared" si="24"/>
        <v>-13544.833193074779</v>
      </c>
      <c r="N139" s="379">
        <f t="shared" si="24"/>
        <v>-13462.764255209264</v>
      </c>
      <c r="O139" s="379">
        <f t="shared" si="24"/>
        <v>-13373.499228789253</v>
      </c>
      <c r="P139" s="379">
        <f t="shared" si="24"/>
        <v>-13276.630343328285</v>
      </c>
      <c r="Q139" s="379">
        <f t="shared" si="24"/>
        <v>-16025.273177881925</v>
      </c>
      <c r="R139" s="379">
        <f t="shared" si="24"/>
        <v>-13058.345463145977</v>
      </c>
      <c r="S139" s="379">
        <f t="shared" si="24"/>
        <v>-12936.006401582004</v>
      </c>
      <c r="T139" s="379">
        <f t="shared" si="24"/>
        <v>0</v>
      </c>
      <c r="U139" s="379">
        <f t="shared" si="24"/>
        <v>0</v>
      </c>
      <c r="V139" s="379">
        <f t="shared" si="24"/>
        <v>0</v>
      </c>
      <c r="W139" s="379">
        <f t="shared" si="24"/>
        <v>0</v>
      </c>
      <c r="X139" s="379">
        <f t="shared" si="24"/>
        <v>0</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2657.1792916666668</v>
      </c>
      <c r="F140" s="379">
        <f t="shared" si="25"/>
        <v>2650.1501245648069</v>
      </c>
      <c r="G140" s="379">
        <f t="shared" si="25"/>
        <v>2642.2522880506099</v>
      </c>
      <c r="H140" s="379">
        <f t="shared" si="25"/>
        <v>2633.4338246474881</v>
      </c>
      <c r="I140" s="379">
        <f t="shared" si="25"/>
        <v>2623.6400949851277</v>
      </c>
      <c r="J140" s="379">
        <f t="shared" si="25"/>
        <v>2612.8136461312633</v>
      </c>
      <c r="K140" s="379">
        <f t="shared" si="25"/>
        <v>2600.8940735836482</v>
      </c>
      <c r="L140" s="379">
        <f t="shared" si="25"/>
        <v>2587.8178766193651</v>
      </c>
      <c r="M140" s="379">
        <f t="shared" si="25"/>
        <v>2573.5183066842083</v>
      </c>
      <c r="N140" s="379">
        <f t="shared" si="25"/>
        <v>2557.9252084897603</v>
      </c>
      <c r="O140" s="379">
        <f t="shared" si="25"/>
        <v>2540.9648534699581</v>
      </c>
      <c r="P140" s="379">
        <f t="shared" si="25"/>
        <v>2522.559765232374</v>
      </c>
      <c r="Q140" s="379">
        <f t="shared" si="25"/>
        <v>3044.801903797566</v>
      </c>
      <c r="R140" s="379">
        <f t="shared" si="25"/>
        <v>2481.0856379977358</v>
      </c>
      <c r="S140" s="379">
        <f t="shared" si="25"/>
        <v>2457.841216300581</v>
      </c>
      <c r="T140" s="379">
        <f t="shared" si="25"/>
        <v>0</v>
      </c>
      <c r="U140" s="379">
        <f t="shared" si="25"/>
        <v>0</v>
      </c>
      <c r="V140" s="379">
        <f t="shared" si="25"/>
        <v>0</v>
      </c>
      <c r="W140" s="379">
        <f t="shared" si="25"/>
        <v>0</v>
      </c>
      <c r="X140" s="379">
        <f t="shared" si="25"/>
        <v>0</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-8344.921183608596</v>
      </c>
      <c r="F142" s="386">
        <f t="shared" si="26"/>
        <v>-8454.3013507104552</v>
      </c>
      <c r="G142" s="386">
        <f t="shared" si="26"/>
        <v>-8566.5972072246532</v>
      </c>
      <c r="H142" s="386">
        <f t="shared" si="26"/>
        <v>-8681.9016510277761</v>
      </c>
      <c r="I142" s="386">
        <f t="shared" si="26"/>
        <v>-8800.3110806981349</v>
      </c>
      <c r="J142" s="386">
        <f t="shared" si="26"/>
        <v>-8921.925543560159</v>
      </c>
      <c r="K142" s="386">
        <f t="shared" si="26"/>
        <v>-9046.848890396097</v>
      </c>
      <c r="L142" s="386">
        <f t="shared" si="26"/>
        <v>-9175.1889371344696</v>
      </c>
      <c r="M142" s="386">
        <f t="shared" si="26"/>
        <v>-9307.0576338391984</v>
      </c>
      <c r="N142" s="386">
        <f t="shared" si="26"/>
        <v>-9442.57124133861</v>
      </c>
      <c r="O142" s="386">
        <f t="shared" si="26"/>
        <v>-9581.8505158494736</v>
      </c>
      <c r="P142" s="386">
        <f t="shared" si="26"/>
        <v>-9725.0209019679405</v>
      </c>
      <c r="Q142" s="386">
        <f t="shared" si="26"/>
        <v>-12183.583405006975</v>
      </c>
      <c r="R142" s="386">
        <f t="shared" si="26"/>
        <v>-10023.56144895635</v>
      </c>
      <c r="S142" s="386">
        <f t="shared" si="26"/>
        <v>-10179.207802887082</v>
      </c>
      <c r="T142" s="386">
        <f t="shared" si="26"/>
        <v>0</v>
      </c>
      <c r="U142" s="386">
        <f t="shared" si="26"/>
        <v>0</v>
      </c>
      <c r="V142" s="386">
        <f t="shared" si="26"/>
        <v>0</v>
      </c>
      <c r="W142" s="386">
        <f t="shared" si="26"/>
        <v>0</v>
      </c>
      <c r="X142" s="386">
        <f t="shared" si="26"/>
        <v>0</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-88750</v>
      </c>
      <c r="E143" s="379">
        <f>E132+E140</f>
        <v>-2460.3707083333334</v>
      </c>
      <c r="F143" s="379">
        <f t="shared" ref="F143:AR143" si="27">F132+F140</f>
        <v>-2569.7508754351929</v>
      </c>
      <c r="G143" s="379">
        <f t="shared" si="27"/>
        <v>-2682.0467319493905</v>
      </c>
      <c r="H143" s="379">
        <f t="shared" si="27"/>
        <v>-2797.3511757525121</v>
      </c>
      <c r="I143" s="379">
        <f t="shared" si="27"/>
        <v>-2915.7606054228727</v>
      </c>
      <c r="J143" s="379">
        <f t="shared" si="27"/>
        <v>-3037.3750682848968</v>
      </c>
      <c r="K143" s="379">
        <f t="shared" si="27"/>
        <v>-3162.2984151208352</v>
      </c>
      <c r="L143" s="379">
        <f t="shared" si="27"/>
        <v>-3290.6384618592074</v>
      </c>
      <c r="M143" s="379">
        <f t="shared" si="27"/>
        <v>-3422.5071585639362</v>
      </c>
      <c r="N143" s="379">
        <f t="shared" si="27"/>
        <v>-3558.0207660633464</v>
      </c>
      <c r="O143" s="379">
        <f t="shared" si="27"/>
        <v>-3697.3000405742114</v>
      </c>
      <c r="P143" s="379">
        <f t="shared" si="27"/>
        <v>-3840.4704266926774</v>
      </c>
      <c r="Q143" s="379">
        <f t="shared" si="27"/>
        <v>-6299.032929731713</v>
      </c>
      <c r="R143" s="379">
        <f t="shared" si="27"/>
        <v>-4139.0109736810882</v>
      </c>
      <c r="S143" s="379">
        <f t="shared" si="27"/>
        <v>-4294.6573276118215</v>
      </c>
      <c r="T143" s="379">
        <f t="shared" si="27"/>
        <v>0</v>
      </c>
      <c r="U143" s="379">
        <f t="shared" si="27"/>
        <v>0</v>
      </c>
      <c r="V143" s="379">
        <f t="shared" si="27"/>
        <v>0</v>
      </c>
      <c r="W143" s="379">
        <f t="shared" si="27"/>
        <v>0</v>
      </c>
      <c r="X143" s="379">
        <f t="shared" si="27"/>
        <v>0</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-26625</v>
      </c>
      <c r="E144" s="379">
        <f>E142</f>
        <v>-8344.921183608596</v>
      </c>
      <c r="F144" s="379">
        <f t="shared" ref="F144:AR144" si="28">F142</f>
        <v>-8454.3013507104552</v>
      </c>
      <c r="G144" s="379">
        <f t="shared" si="28"/>
        <v>-8566.5972072246532</v>
      </c>
      <c r="H144" s="379">
        <f t="shared" si="28"/>
        <v>-8681.9016510277761</v>
      </c>
      <c r="I144" s="379">
        <f t="shared" si="28"/>
        <v>-8800.3110806981349</v>
      </c>
      <c r="J144" s="379">
        <f t="shared" si="28"/>
        <v>-8921.925543560159</v>
      </c>
      <c r="K144" s="379">
        <f t="shared" si="28"/>
        <v>-9046.848890396097</v>
      </c>
      <c r="L144" s="379">
        <f t="shared" si="28"/>
        <v>-9175.1889371344696</v>
      </c>
      <c r="M144" s="379">
        <f t="shared" si="28"/>
        <v>-9307.0576338391984</v>
      </c>
      <c r="N144" s="379">
        <f t="shared" si="28"/>
        <v>-9442.57124133861</v>
      </c>
      <c r="O144" s="379">
        <f t="shared" si="28"/>
        <v>-9581.8505158494736</v>
      </c>
      <c r="P144" s="379">
        <f t="shared" si="28"/>
        <v>-9725.0209019679405</v>
      </c>
      <c r="Q144" s="379">
        <f t="shared" si="28"/>
        <v>-12183.583405006975</v>
      </c>
      <c r="R144" s="379">
        <f t="shared" si="28"/>
        <v>-10023.56144895635</v>
      </c>
      <c r="S144" s="379">
        <f t="shared" si="28"/>
        <v>-10179.207802887082</v>
      </c>
      <c r="T144" s="379">
        <f t="shared" si="28"/>
        <v>0</v>
      </c>
      <c r="U144" s="379">
        <f t="shared" si="28"/>
        <v>0</v>
      </c>
      <c r="V144" s="379">
        <f t="shared" si="28"/>
        <v>0</v>
      </c>
      <c r="W144" s="379">
        <f t="shared" si="28"/>
        <v>0</v>
      </c>
      <c r="X144" s="379">
        <f t="shared" si="28"/>
        <v>0</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109500</v>
      </c>
      <c r="F145" s="379">
        <f t="shared" si="29"/>
        <v>109500</v>
      </c>
      <c r="G145" s="379">
        <f t="shared" si="29"/>
        <v>109500</v>
      </c>
      <c r="H145" s="379">
        <f t="shared" si="29"/>
        <v>109500</v>
      </c>
      <c r="I145" s="379">
        <f t="shared" si="29"/>
        <v>109500</v>
      </c>
      <c r="J145" s="379">
        <f t="shared" si="29"/>
        <v>109500</v>
      </c>
      <c r="K145" s="379">
        <f t="shared" si="29"/>
        <v>109500</v>
      </c>
      <c r="L145" s="379">
        <f t="shared" si="29"/>
        <v>109500</v>
      </c>
      <c r="M145" s="379">
        <f t="shared" si="29"/>
        <v>109500</v>
      </c>
      <c r="N145" s="379">
        <f t="shared" si="29"/>
        <v>109500</v>
      </c>
      <c r="O145" s="379">
        <f t="shared" si="29"/>
        <v>109500</v>
      </c>
      <c r="P145" s="379">
        <f t="shared" si="29"/>
        <v>109500</v>
      </c>
      <c r="Q145" s="379">
        <f t="shared" si="29"/>
        <v>109500</v>
      </c>
      <c r="R145" s="379">
        <f t="shared" si="29"/>
        <v>109500</v>
      </c>
      <c r="S145" s="379">
        <f t="shared" si="29"/>
        <v>109500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88750</v>
      </c>
      <c r="E146" s="123">
        <f>IF(E112&lt;=$C76,D146-($C$5*E118+E132+E135),D146-(E132+E135))</f>
        <v>82003.137499999997</v>
      </c>
      <c r="F146" s="123">
        <f t="shared" ref="F146:AR146" si="30">IF(F112&lt;=$C76,E146-($C$5*F118+F132+F135),E146-(F132+F135))</f>
        <v>75219.279383674424</v>
      </c>
      <c r="G146" s="123">
        <f t="shared" si="30"/>
        <v>68393.853706747803</v>
      </c>
      <c r="H146" s="123">
        <f t="shared" si="30"/>
        <v>61522.0150645416</v>
      </c>
      <c r="I146" s="123">
        <f>IF(I112&lt;=$C76,H146-($C$5*I118+I132+I135),H146-(I132+I135))</f>
        <v>54598.630476744023</v>
      </c>
      <c r="J146" s="123">
        <f t="shared" si="30"/>
        <v>47618.264579189272</v>
      </c>
      <c r="K146" s="123">
        <f>IF(K112&lt;=$C76,J146-($C$5*K118+K132+K135),J146-(K132+K135))</f>
        <v>40575.164089278645</v>
      </c>
      <c r="L146" s="123">
        <f t="shared" si="30"/>
        <v>33463.24151008232</v>
      </c>
      <c r="M146" s="123">
        <f t="shared" si="30"/>
        <v>26276.058036490431</v>
      </c>
      <c r="N146" s="123">
        <f t="shared" si="30"/>
        <v>19006.80562503303</v>
      </c>
      <c r="O146" s="123">
        <f t="shared" si="30"/>
        <v>11648.288187155616</v>
      </c>
      <c r="P146" s="123">
        <f t="shared" si="30"/>
        <v>4192.9018638172329</v>
      </c>
      <c r="Q146" s="123">
        <f t="shared" si="30"/>
        <v>-513.84162496751014</v>
      </c>
      <c r="R146" s="123">
        <f t="shared" si="30"/>
        <v>-8187.5128284881994</v>
      </c>
      <c r="S146" s="123">
        <f t="shared" si="30"/>
        <v>-15983.523093572861</v>
      </c>
      <c r="T146" s="123">
        <f t="shared" si="30"/>
        <v>-15983.523093572861</v>
      </c>
      <c r="U146" s="123">
        <f t="shared" si="30"/>
        <v>-15983.523093572861</v>
      </c>
      <c r="V146" s="123">
        <f t="shared" si="30"/>
        <v>-15983.523093572861</v>
      </c>
      <c r="W146" s="123">
        <f t="shared" si="30"/>
        <v>-15983.523093572861</v>
      </c>
      <c r="X146" s="123">
        <f t="shared" si="30"/>
        <v>-15983.523093572861</v>
      </c>
      <c r="Y146" s="123">
        <f t="shared" si="30"/>
        <v>-15983.523093572861</v>
      </c>
      <c r="Z146" s="123">
        <f t="shared" si="30"/>
        <v>-15983.523093572861</v>
      </c>
      <c r="AA146" s="123">
        <f>IF(AA112&lt;=$C76,Z146-($C$5*AA118+AA132+AA135),Z146-(AA132+AA135))</f>
        <v>-15983.523093572861</v>
      </c>
      <c r="AB146" s="123">
        <f t="shared" si="30"/>
        <v>-15983.523093572861</v>
      </c>
      <c r="AC146" s="123">
        <f t="shared" si="30"/>
        <v>-15983.523093572861</v>
      </c>
      <c r="AD146" s="123">
        <f t="shared" si="30"/>
        <v>-15983.523093572861</v>
      </c>
      <c r="AE146" s="123">
        <f>IF(AE112&lt;=$C76,AD146-($C$5*AE118+AE132+AE135),AD146-(AE132+AE135))</f>
        <v>-15983.523093572861</v>
      </c>
      <c r="AF146" s="123">
        <f t="shared" si="30"/>
        <v>-15983.523093572861</v>
      </c>
      <c r="AG146" s="123">
        <f>IF(AG112&lt;=$C76,AF146-($C$5*AG118+AG132+AG135),AF146-(AG132+AG135))</f>
        <v>-15983.523093572861</v>
      </c>
      <c r="AH146" s="123">
        <f t="shared" si="30"/>
        <v>-15983.523093572861</v>
      </c>
      <c r="AI146" s="123">
        <f t="shared" si="30"/>
        <v>-15983.523093572861</v>
      </c>
      <c r="AJ146" s="123">
        <f t="shared" si="30"/>
        <v>-15983.523093572861</v>
      </c>
      <c r="AK146" s="123">
        <f t="shared" si="30"/>
        <v>-15983.523093572861</v>
      </c>
      <c r="AL146" s="123">
        <f t="shared" si="30"/>
        <v>-15983.523093572861</v>
      </c>
      <c r="AM146" s="123">
        <f t="shared" si="30"/>
        <v>-15983.523093572861</v>
      </c>
      <c r="AN146" s="123">
        <f t="shared" si="30"/>
        <v>-15983.523093572861</v>
      </c>
      <c r="AO146" s="123">
        <f t="shared" si="30"/>
        <v>-15983.523093572861</v>
      </c>
      <c r="AP146" s="123">
        <f t="shared" si="30"/>
        <v>-15983.523093572861</v>
      </c>
      <c r="AQ146" s="123">
        <f t="shared" si="30"/>
        <v>-15983.523093572861</v>
      </c>
      <c r="AR146" s="387">
        <f t="shared" si="30"/>
        <v>-15983.523093572861</v>
      </c>
    </row>
    <row r="147" spans="1:44" ht="13" thickBot="1" x14ac:dyDescent="0.3">
      <c r="B147" s="124" t="s">
        <v>473</v>
      </c>
      <c r="C147" s="125"/>
      <c r="D147" s="125"/>
      <c r="E147" s="126">
        <f t="shared" ref="E147:AR147" si="31">IF(E112&gt;$C$74,"",(-$C$94*(E139+$C$5*E118)+E132+$C$5*E118)/-E137)</f>
        <v>1.62120502351888</v>
      </c>
      <c r="F147" s="126">
        <f t="shared" si="31"/>
        <v>1.6026173391135146</v>
      </c>
      <c r="G147" s="126">
        <f t="shared" si="31"/>
        <v>1.583534172610648</v>
      </c>
      <c r="H147" s="126">
        <f t="shared" si="31"/>
        <v>1.5639397372688852</v>
      </c>
      <c r="I147" s="126">
        <f t="shared" si="31"/>
        <v>1.5438176514497777</v>
      </c>
      <c r="J147" s="126">
        <f t="shared" si="31"/>
        <v>1.523150913459679</v>
      </c>
      <c r="K147" s="126">
        <f t="shared" si="31"/>
        <v>1.5019218752585759</v>
      </c>
      <c r="L147" s="126">
        <f t="shared" si="31"/>
        <v>1.4801122149833161</v>
      </c>
      <c r="M147" s="126">
        <f t="shared" si="31"/>
        <v>1.4577029082301847</v>
      </c>
      <c r="N147" s="126">
        <f t="shared" si="31"/>
        <v>1.4346741980391871</v>
      </c>
      <c r="O147" s="126">
        <f t="shared" si="31"/>
        <v>1.411005563519683</v>
      </c>
      <c r="P147" s="126">
        <f t="shared" si="31"/>
        <v>1.3866756870541792</v>
      </c>
      <c r="Q147" s="126">
        <f t="shared" si="31"/>
        <v>0.96887614342395312</v>
      </c>
      <c r="R147" s="126">
        <f t="shared" si="31"/>
        <v>1.3359427469183494</v>
      </c>
      <c r="S147" s="126">
        <f t="shared" si="31"/>
        <v>1.3094927479618101</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-86186.426574344106</v>
      </c>
      <c r="D150" s="57" t="s">
        <v>476</v>
      </c>
    </row>
    <row r="151" spans="1:44" x14ac:dyDescent="0.25">
      <c r="B151" s="26" t="s">
        <v>477</v>
      </c>
      <c r="C151" s="153">
        <f>(1-$C$94)*NPV($C$91,E145:AR145)</f>
        <v>833969.71407073457</v>
      </c>
      <c r="D151" s="58" t="str">
        <f>$C$7</f>
        <v>kWh</v>
      </c>
      <c r="F151" s="59"/>
    </row>
    <row r="152" spans="1:44" x14ac:dyDescent="0.25">
      <c r="B152" s="26" t="s">
        <v>478</v>
      </c>
      <c r="C152" s="153">
        <f>$C$41*1000000</f>
        <v>88750</v>
      </c>
      <c r="D152" s="57" t="s">
        <v>424</v>
      </c>
      <c r="F152" s="60"/>
    </row>
    <row r="153" spans="1:44" x14ac:dyDescent="0.25">
      <c r="B153" s="26" t="s">
        <v>479</v>
      </c>
      <c r="C153" s="154">
        <f>AVERAGE(E147:AR147)</f>
        <v>1.4483112615207079</v>
      </c>
      <c r="D153" s="57"/>
      <c r="F153" s="60"/>
    </row>
    <row r="154" spans="1:44" x14ac:dyDescent="0.25">
      <c r="B154" s="26" t="s">
        <v>480</v>
      </c>
      <c r="C154" s="155" t="str">
        <f>CONCATENATE(ROUND(((1-$C$94)*$C$90*$C$92+$C$93*$C$91)*100,1),"% / ",ROUND((((1+(1-$C$94)*$C$90*$C$92+$C$93*$C$91)/(1+$C$89))-1)*100,1),"%")</f>
        <v>4.6% / 2.6%</v>
      </c>
      <c r="D154" s="57"/>
      <c r="F154" s="59"/>
      <c r="G154" s="61"/>
    </row>
    <row r="155" spans="1:44" x14ac:dyDescent="0.25">
      <c r="B155" s="26" t="s">
        <v>481</v>
      </c>
      <c r="C155" s="156" t="str">
        <f>IFERROR(IRR(D143:AR143),"n.v.t.")</f>
        <v>n.v.t.</v>
      </c>
      <c r="D155" s="57"/>
      <c r="F155" s="60"/>
      <c r="G155" s="61"/>
    </row>
    <row r="156" spans="1:44" x14ac:dyDescent="0.25">
      <c r="B156" s="26" t="s">
        <v>482</v>
      </c>
      <c r="C156" s="156" t="str">
        <f>IFERROR(IRR(D144:AR144),"n.v.t.")</f>
        <v>n.v.t.</v>
      </c>
      <c r="D156" s="57"/>
      <c r="G156" s="61"/>
    </row>
    <row r="157" spans="1:44" x14ac:dyDescent="0.25">
      <c r="B157" s="38" t="s">
        <v>483</v>
      </c>
      <c r="C157" s="153">
        <f>$C$92*C152-C97</f>
        <v>62124.999999999993</v>
      </c>
      <c r="D157" s="57" t="s">
        <v>424</v>
      </c>
      <c r="F157" s="35"/>
    </row>
    <row r="158" spans="1:44" x14ac:dyDescent="0.25">
      <c r="B158" s="38" t="s">
        <v>484</v>
      </c>
      <c r="C158" s="153">
        <f>$C$93*C152-C98</f>
        <v>26625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730</v>
      </c>
      <c r="D160" s="57" t="s">
        <v>340</v>
      </c>
      <c r="F160" s="35"/>
    </row>
    <row r="161" spans="2:44" x14ac:dyDescent="0.25">
      <c r="B161" s="43" t="s">
        <v>487</v>
      </c>
      <c r="C161" s="461" t="str">
        <f>CONCATENATE( "tussen ", INDEX(D112:X112, MATCH(0,D146:X146, -1)), " en ",  1 + INDEX(D112:X112, MATCH(0,D146:X146, -1)), " jaar")</f>
        <v>tussen 12 en 13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333" t="s">
        <v>46</v>
      </c>
      <c r="C164" s="419" t="str">
        <f>IF($C12="","","")</f>
        <v/>
      </c>
      <c r="D164" s="334" t="str">
        <f t="shared" ref="D164:D177" si="32">CONCATENATE("Euro/",$C$7)</f>
        <v>Euro/kWh</v>
      </c>
    </row>
    <row r="165" spans="2:44" ht="14.65" customHeight="1" x14ac:dyDescent="0.25">
      <c r="B165" s="65" t="s">
        <v>489</v>
      </c>
      <c r="C165" s="345" t="str">
        <f>IF(C15&gt;0,C166&amp;" / "&amp;C167,ROUND(VLOOKUP($C12,Correcties!$A$3:$H$11,8),3))</f>
        <v>0.035 / 0.092</v>
      </c>
      <c r="D165" s="57" t="str">
        <f t="shared" si="32"/>
        <v>Euro/kWh</v>
      </c>
    </row>
    <row r="166" spans="2:44" x14ac:dyDescent="0.25">
      <c r="B166" s="26" t="s">
        <v>490</v>
      </c>
      <c r="C166" s="140">
        <f>IFERROR(ROUND(INDEX(Correcties!$A$1:$I$11,MATCH(C15,Correcties!$A$1:$A$11,0),8),decimalen),"n.v.t.")</f>
        <v>3.5000000000000003E-2</v>
      </c>
      <c r="D166" s="57" t="str">
        <f t="shared" si="32"/>
        <v>Euro/kWh</v>
      </c>
    </row>
    <row r="167" spans="2:44" s="10" customFormat="1" x14ac:dyDescent="0.25">
      <c r="B167" s="27" t="s">
        <v>33</v>
      </c>
      <c r="C167" s="343">
        <f>IFERROR(ROUND(INDEX(Correcties!$A$1:$I$11,MATCH(C16,Correcties!$A$1:$A$11,0),8),decimalen),"n.v.t.")</f>
        <v>9.1999999999999998E-2</v>
      </c>
      <c r="D167" s="66" t="str">
        <f t="shared" si="32"/>
        <v>Euro/kWh</v>
      </c>
    </row>
    <row r="168" spans="2:44" s="10" customFormat="1" x14ac:dyDescent="0.25">
      <c r="B168" s="93" t="s">
        <v>491</v>
      </c>
      <c r="C168" s="342" t="str">
        <f>IF(C16&gt;0,"netlevering: "&amp;ROUND(VLOOKUP($C$15,Correcties!$A$3:$M$11,6,FALSE),decimalen)&amp;", niet-netlevering: "&amp;ROUND(VLOOKUP($C$16,Correcties!$A$3:$M$11,6,FALSE),decimalen))</f>
        <v>netlevering: 0.052, niet-netlevering: 0.109</v>
      </c>
      <c r="D168" s="94" t="str">
        <f t="shared" si="32"/>
        <v>Euro/kWh</v>
      </c>
    </row>
    <row r="169" spans="2:44" s="10" customFormat="1" x14ac:dyDescent="0.25">
      <c r="B169" s="26" t="str">
        <f>"Voorlopig correctiebedrag "&amp;Colofon!$C$29</f>
        <v>Voorlopig correctiebedrag 2025</v>
      </c>
      <c r="C169" s="140" t="str">
        <f>IF(C16&gt;0,"netlevering: "&amp;ROUND(VLOOKUP($C$15,Correcties!$A$3:$M$11,4,FALSE),decimalen)&amp;", niet-netlevering: "&amp;ROUND(VLOOKUP($C$16,Correcties!$A$3:$M$11,4),decimalen))</f>
        <v>netlevering: 0.053, niet-netlevering: 0.11</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t="str">
        <f>IF(C16&gt;0,"netlevering: "&amp;ROUND(VLOOKUP($C$15,Correcties!$A$3:$M$11,12,FALSE),decimalen)&amp;", niet-netlevering: "&amp;ROUND(VLOOKUP($C$16,Correcties!$A$3:$M$11,12,FALSE),decimalen))</f>
        <v>netlevering: 0.004, niet-netlevering: 0</v>
      </c>
      <c r="D170" s="94" t="str">
        <f t="shared" si="32"/>
        <v>Euro/kWh</v>
      </c>
    </row>
    <row r="171" spans="2:44" s="10" customFormat="1" x14ac:dyDescent="0.25">
      <c r="B171" s="65" t="s">
        <v>49</v>
      </c>
      <c r="C171" s="344">
        <f>IF(NOT(OR($C$13=6,$C$13=7,$C$13=9)),_xlfn.XLOOKUP($C$13,Correcties!A27:A39,Correcties!D27:D39,"foutmelding"),($C$22-1)/$C$22*Correcties!D69*IF($C$13=7,1,Correcties!D70)*IF($C$13=9,Correcties!D71,1))*IF(C159=0,1,C159/(1+C159))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IF(C14="Nee",0,IF(NOT(OR($C$13=6,$C$13=7,$C$13=9)),_xlfn.XLOOKUP($C$13,Correcties!A27:A39,Correcties!F27:F39,"foutmelding"),($C$22-1)/$C$22*Correcties!H69*IF($C$13=7,1,Correcties!H70)*IF($C$13=9,Correcties!H71,1))*IF(C159=0,1,C159/(1+C159)))</f>
        <v>0</v>
      </c>
      <c r="D172" s="57" t="str">
        <f t="shared" si="32"/>
        <v>Euro/kWh</v>
      </c>
      <c r="F172" s="67"/>
      <c r="G172" s="67"/>
      <c r="H172" s="67"/>
      <c r="I172" s="67"/>
      <c r="J172" s="67"/>
      <c r="K172" s="67"/>
      <c r="L172" s="67"/>
      <c r="M172" s="67"/>
      <c r="N172" s="67"/>
      <c r="O172" s="67"/>
      <c r="P172" s="67"/>
    </row>
    <row r="173" spans="2:44" s="10" customFormat="1" ht="13.5" customHeight="1" x14ac:dyDescent="0.25">
      <c r="B173" s="95" t="s">
        <v>493</v>
      </c>
      <c r="C173" s="342">
        <f>IFERROR(ROUND(INDEX(Correcties!$A$1:$K$11,MATCH(C15,Correcties!$A$1:$A$11,0),6),decimalen),"n.v.t.")</f>
        <v>5.1999999999999998E-2</v>
      </c>
      <c r="D173" s="94" t="str">
        <f t="shared" si="32"/>
        <v>Euro/kWh</v>
      </c>
      <c r="F173" s="67"/>
      <c r="G173" s="67"/>
      <c r="H173" s="67"/>
      <c r="I173" s="67"/>
      <c r="J173" s="67"/>
      <c r="K173" s="67"/>
      <c r="L173" s="67"/>
      <c r="M173" s="67"/>
      <c r="N173" s="67"/>
      <c r="O173" s="67"/>
      <c r="P173" s="67"/>
    </row>
    <row r="174" spans="2:44" s="10" customFormat="1" ht="13.5" customHeight="1" x14ac:dyDescent="0.25">
      <c r="B174" s="65" t="s">
        <v>494</v>
      </c>
      <c r="C174" s="344">
        <f>IFERROR(ROUND(INDEX(Correcties!$A$1:$K$11,MATCH(C16,Correcties!$A$1:$A$11,0),6),decimalen),"n.v.t.")</f>
        <v>0.109</v>
      </c>
      <c r="D174" s="66" t="str">
        <f t="shared" si="32"/>
        <v>Euro/kWh</v>
      </c>
      <c r="F174" s="67"/>
      <c r="G174" s="67"/>
      <c r="H174" s="67"/>
      <c r="I174" s="67"/>
      <c r="J174" s="67"/>
      <c r="K174" s="67"/>
      <c r="L174" s="67"/>
      <c r="M174" s="67"/>
      <c r="N174" s="67"/>
      <c r="O174" s="67"/>
      <c r="P174" s="67"/>
    </row>
    <row r="175" spans="2:44" s="10" customFormat="1" x14ac:dyDescent="0.25">
      <c r="B175" s="333" t="str">
        <f>"Voorlopig correctiebedrag incl. GvO"&amp;Colofon!$B$21&amp;""</f>
        <v>Voorlopig correctiebedrag incl. GvO</v>
      </c>
      <c r="C175" s="420" t="str">
        <f>IF(C15&gt;0,"netlevering: "&amp;C176&amp;", niet-netlevering: "&amp;C177,ROUND(VLOOKUP($C21,Correcties!$A$3:$J$76,6),decimalen))</f>
        <v>netlevering: 0.057, niet-netlevering: 0.11</v>
      </c>
      <c r="D175" s="57" t="str">
        <f t="shared" si="32"/>
        <v>Euro/kWh</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4">
        <f>ROUND(VLOOKUP(C15,Correcties!$A$3:$K$11,10,FALSE),decimalen)</f>
        <v>5.7000000000000002E-2</v>
      </c>
      <c r="D176" s="57" t="str">
        <f t="shared" si="32"/>
        <v>Euro/kWh</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343">
        <f>ROUND(VLOOKUP(C16,Correcties!$A$3:$K$11,10,FALSE),decimalen)</f>
        <v>0.11</v>
      </c>
      <c r="D177" s="57" t="str">
        <f t="shared" si="32"/>
        <v>Euro/kWh</v>
      </c>
      <c r="F177" s="67"/>
      <c r="G177" s="67"/>
      <c r="H177" s="67"/>
      <c r="I177" s="67"/>
      <c r="J177" s="67"/>
      <c r="K177" s="67"/>
      <c r="L177" s="67"/>
      <c r="M177" s="67"/>
      <c r="N177" s="67"/>
      <c r="O177" s="67"/>
      <c r="P177" s="67"/>
    </row>
    <row r="178" spans="2:16" s="10" customFormat="1" x14ac:dyDescent="0.25">
      <c r="B178" s="68" t="str">
        <f>"Voorlopige GvO-waarde "&amp;Colofon!$C$29</f>
        <v>Voorlopige GvO-waarde 2025</v>
      </c>
      <c r="C178" s="343">
        <f>ROUND(VLOOKUP($C$15,Correcties!$A$3:$M$11,12,FALSE),decimalen)</f>
        <v>4.0000000000000001E-3</v>
      </c>
      <c r="D178" s="94" t="str">
        <f t="shared" ref="D178" si="33">CONCATENATE("Euro/",$C$7)</f>
        <v>Euro/kWh</v>
      </c>
      <c r="E178" s="67"/>
      <c r="F178" s="67"/>
      <c r="G178" s="67"/>
      <c r="H178" s="67"/>
      <c r="I178" s="67"/>
      <c r="J178" s="67"/>
      <c r="K178" s="67"/>
      <c r="L178" s="67"/>
      <c r="M178" s="67"/>
      <c r="N178" s="67"/>
      <c r="O178" s="67"/>
      <c r="P178" s="67"/>
    </row>
    <row r="179" spans="2:16" s="10" customFormat="1" x14ac:dyDescent="0.25">
      <c r="E179" s="67"/>
      <c r="F179" s="67"/>
      <c r="G179" s="67"/>
      <c r="H179" s="67"/>
      <c r="I179" s="67"/>
      <c r="J179" s="67"/>
      <c r="K179" s="67"/>
      <c r="L179" s="67"/>
      <c r="M179" s="67"/>
      <c r="N179" s="67"/>
      <c r="O179" s="67"/>
      <c r="P179" s="67"/>
    </row>
    <row r="180" spans="2:16" s="10" customFormat="1" x14ac:dyDescent="0.25">
      <c r="B180" s="102" t="s">
        <v>495</v>
      </c>
      <c r="C180" s="103" t="s">
        <v>79</v>
      </c>
      <c r="D180" s="128" t="s">
        <v>136</v>
      </c>
    </row>
    <row r="181" spans="2:16" s="10" customFormat="1" x14ac:dyDescent="0.25">
      <c r="B181" s="26" t="s">
        <v>496</v>
      </c>
      <c r="C181" s="69">
        <v>35.799999999999997</v>
      </c>
      <c r="D181" s="57" t="s">
        <v>497</v>
      </c>
    </row>
    <row r="182" spans="2:16" s="10" customFormat="1" x14ac:dyDescent="0.25">
      <c r="B182" s="26" t="s">
        <v>498</v>
      </c>
      <c r="C182" s="69">
        <v>31.65</v>
      </c>
      <c r="D182" s="57" t="s">
        <v>497</v>
      </c>
    </row>
    <row r="183" spans="2:16" s="10" customFormat="1" x14ac:dyDescent="0.25">
      <c r="B183" s="26" t="s">
        <v>499</v>
      </c>
      <c r="C183" s="69">
        <v>35.17</v>
      </c>
      <c r="D183" s="57" t="s">
        <v>497</v>
      </c>
    </row>
    <row r="184" spans="2:16" s="10" customFormat="1" x14ac:dyDescent="0.25">
      <c r="B184" s="27" t="s">
        <v>500</v>
      </c>
      <c r="C184" s="70">
        <v>3.6</v>
      </c>
      <c r="D184" s="66" t="s">
        <v>501</v>
      </c>
    </row>
    <row r="185" spans="2:16" s="10" customFormat="1" x14ac:dyDescent="0.25">
      <c r="E185" s="71"/>
    </row>
    <row r="186" spans="2:16" s="10" customFormat="1" x14ac:dyDescent="0.25"/>
    <row r="187" spans="2:16" x14ac:dyDescent="0.25">
      <c r="E187" s="10"/>
      <c r="F187" s="10"/>
      <c r="H187" s="10"/>
    </row>
    <row r="188" spans="2:16" x14ac:dyDescent="0.25">
      <c r="E188" s="10"/>
      <c r="F188" s="10"/>
      <c r="H188" s="10"/>
    </row>
    <row r="189" spans="2:16" x14ac:dyDescent="0.25">
      <c r="E189" s="10"/>
      <c r="F189" s="10"/>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9 G110:G114 G149:G160 G164:G168 G170">
    <cfRule type="containsText" dxfId="59" priority="4" operator="containsText" text="Pas op">
      <formula>NOT(ISERROR(SEARCH("Pas op",G19)))</formula>
    </cfRule>
  </conditionalFormatting>
  <conditionalFormatting sqref="G105">
    <cfRule type="containsText" dxfId="58" priority="2" operator="containsText" text="Pas op">
      <formula>NOT(ISERROR(SEARCH("Pas op",G105)))</formula>
    </cfRule>
  </conditionalFormatting>
  <conditionalFormatting sqref="G185:G1048576">
    <cfRule type="containsText" dxfId="57" priority="3" operator="containsText" text="Pas op">
      <formula>NOT(ISERROR(SEARCH("Pas op",G185)))</formula>
    </cfRule>
  </conditionalFormatting>
  <dataValidations count="3">
    <dataValidation type="list" allowBlank="1" showInputMessage="1" showErrorMessage="1" sqref="C14" xr:uid="{CF44DA53-B6A5-4D3A-ADB3-5F45DA986D61}">
      <formula1>"Nee,Ja,Geen warmte"</formula1>
    </dataValidation>
    <dataValidation type="list" allowBlank="1" showInputMessage="1" showErrorMessage="1" sqref="C7" xr:uid="{0D71850D-7900-42BB-A153-597B28F4F4CF}">
      <formula1>"t CO2,kWh"</formula1>
    </dataValidation>
    <dataValidation type="list" allowBlank="1" showInputMessage="1" showErrorMessage="1" sqref="C37362 C102898 C168434 C233970 C299506 C365042 C430578 C496114 C561650 C627186 C692722 C758258 C823794 C889330 C954866" xr:uid="{F4DF2103-1E6E-4C47-9971-C7F11AE88017}">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FCBA07E-A880-41AF-8FD3-D1669D1D0096}">
          <x14:formula1>
            <xm:f>Correcties!$A$27:$A$38</xm:f>
          </x14:formula1>
          <xm:sqref>C13</xm:sqref>
        </x14:dataValidation>
        <x14:dataValidation type="list" allowBlank="1" showInputMessage="1" showErrorMessage="1" xr:uid="{DC58B050-CA77-4B33-AEAB-301DC6C35B01}">
          <x14:formula1>
            <xm:f>Colofon!$B$34:$B$39</xm:f>
          </x14:formula1>
          <xm:sqref>C9</xm:sqref>
        </x14:dataValidation>
        <x14:dataValidation type="list" allowBlank="1" showInputMessage="1" showErrorMessage="1" xr:uid="{5A5D64E2-CE74-4656-9C7A-D3447FBB2C04}">
          <x14:formula1>
            <xm:f>Correcties!$A$4:$A$10</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75105-5A15-4606-B1B7-2AB528F510A6}">
  <sheetPr codeName="Sheet94">
    <tabColor theme="7" tint="0.79998168889431442"/>
    <pageSetUpPr fitToPage="1"/>
  </sheetPr>
  <dimension ref="A1:AR199"/>
  <sheetViews>
    <sheetView showGridLines="0" topLeftCell="A92" zoomScaleNormal="100" workbookViewId="0">
      <selection activeCell="E127" sqref="E127:AR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505</v>
      </c>
      <c r="C2" s="32"/>
      <c r="D2" s="32"/>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9.6500000000000002E-2</v>
      </c>
      <c r="D5" s="98" t="str">
        <f>CONCATENATE("Euro/",$C$7)</f>
        <v>Euro/kWh</v>
      </c>
      <c r="E5" s="447" t="s">
        <v>300</v>
      </c>
      <c r="F5" s="447"/>
      <c r="G5" s="447"/>
      <c r="H5" s="447"/>
      <c r="I5" s="447"/>
      <c r="J5" s="447"/>
      <c r="K5" s="447"/>
      <c r="L5" s="447"/>
      <c r="M5" s="448"/>
    </row>
    <row r="6" spans="1:44" ht="13" x14ac:dyDescent="0.3">
      <c r="B6" s="96" t="s">
        <v>301</v>
      </c>
      <c r="C6" s="135">
        <f>(ROUND(C5,4)-(ROUND(C173,4)+ROUND(C178,4)+ROUND(C172,4)))/ROUND(C70,4)*1000</f>
        <v>843.75000000000011</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
        <v>308</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162"/>
      <c r="D12" s="105" t="str">
        <f>_xlfn.XLOOKUP(C12,Correcties!A4:A11,Correcties!B4:B11,"")</f>
        <v/>
      </c>
      <c r="E12" s="449">
        <f>IFERROR(INDEX(Correcties!$A$1:$I$301,MATCH('3'!C12,Correcties!$A$1:$A$301,0),5),"")</f>
        <v>0</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421">
        <v>6.3</v>
      </c>
      <c r="D15" s="99" t="str">
        <f>_xlfn.XLOOKUP(C15,Correcties!A4:A11,Correcties!B4:B11,"")</f>
        <v>Elektriciteit-ZonPV-netlevering (negatieve uren niet meegenomen)</v>
      </c>
      <c r="E15" s="447" t="str">
        <f>"Enkel relevant voor zon-pv. "&amp;_xlfn.XLOOKUP(C15,Correcties!A4:A11,Correcties!E4:E11,"")</f>
        <v>Enkel relevant voor zon-pv. EPEX2 x PIF_PV2</v>
      </c>
      <c r="F15" s="447"/>
      <c r="G15" s="447"/>
      <c r="H15" s="447"/>
      <c r="I15" s="447"/>
      <c r="J15" s="447"/>
      <c r="K15" s="447"/>
      <c r="L15" s="447"/>
      <c r="M15" s="448"/>
    </row>
    <row r="16" spans="1:44" x14ac:dyDescent="0.25">
      <c r="B16" s="96" t="s">
        <v>319</v>
      </c>
      <c r="C16" s="167">
        <v>8.3000000000000007</v>
      </c>
      <c r="D16" s="99" t="str">
        <f>_xlfn.XLOOKUP(C16,Correcties!A4:A11,Correcties!B4:B11,"")</f>
        <v>Elektricteit-ZonPV-niet-netlevering, groot (negatieve uren niet meegenomen)</v>
      </c>
      <c r="E16" s="447" t="str">
        <f>"Enkel relevant voor zon-pv. "&amp;_xlfn.XLOOKUP(C16,Correcties!A4:A11,Correcties!E4:E11,"")</f>
        <v>Enkel relevant voor zon-pv. EPEX2 x PIF_PV + EB3_e + ODE3_e</v>
      </c>
      <c r="F16" s="447"/>
      <c r="G16" s="447"/>
      <c r="H16" s="447"/>
      <c r="I16" s="447"/>
      <c r="J16" s="447"/>
      <c r="K16" s="447"/>
      <c r="L16" s="447"/>
      <c r="M16" s="448"/>
    </row>
    <row r="17" spans="2:13" x14ac:dyDescent="0.25">
      <c r="B17" s="96" t="s">
        <v>320</v>
      </c>
      <c r="C17" s="163"/>
      <c r="D17" s="99"/>
      <c r="E17" s="447" t="s">
        <v>321</v>
      </c>
      <c r="F17" s="447"/>
      <c r="G17" s="447"/>
      <c r="H17" s="447"/>
      <c r="I17" s="447"/>
      <c r="J17" s="447"/>
      <c r="K17" s="447"/>
      <c r="L17" s="447"/>
      <c r="M17" s="448"/>
    </row>
    <row r="18" spans="2:13" x14ac:dyDescent="0.25">
      <c r="B18" s="97" t="s">
        <v>322</v>
      </c>
      <c r="C18" s="164"/>
      <c r="D18" s="107"/>
      <c r="E18" s="451" t="s">
        <v>323</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2500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IF(C23="JA",IF(C24&lt;&gt;"",C21*C180/C176/C24,0),0)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IF(C23="JA",IF(C26=0,,C26*C180/C177),0)</f>
        <v>0</v>
      </c>
      <c r="D27" s="99" t="s">
        <v>333</v>
      </c>
      <c r="E27" s="447"/>
      <c r="F27" s="447"/>
      <c r="G27" s="447"/>
      <c r="H27" s="447"/>
      <c r="I27" s="447"/>
      <c r="J27" s="447"/>
      <c r="K27" s="447"/>
      <c r="L27" s="447"/>
      <c r="M27" s="448"/>
    </row>
    <row r="28" spans="2:13" x14ac:dyDescent="0.25">
      <c r="B28" s="96" t="s">
        <v>337</v>
      </c>
      <c r="C28" s="167">
        <v>2500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730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v>487</v>
      </c>
      <c r="D39" s="99" t="str">
        <f>CONCATENATE("Euro/",$C$8)</f>
        <v>Euro/kW</v>
      </c>
      <c r="E39" s="447" t="s">
        <v>352</v>
      </c>
      <c r="F39" s="447"/>
      <c r="G39" s="447"/>
      <c r="H39" s="447"/>
      <c r="I39" s="447"/>
      <c r="J39" s="447"/>
      <c r="K39" s="447"/>
      <c r="L39" s="447"/>
      <c r="M39" s="448"/>
    </row>
    <row r="40" spans="2:13" x14ac:dyDescent="0.25">
      <c r="B40" s="109" t="s">
        <v>353</v>
      </c>
      <c r="C40" s="160"/>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1.2266312500000001</v>
      </c>
      <c r="D41" s="99" t="s">
        <v>355</v>
      </c>
      <c r="E41" s="453"/>
      <c r="F41" s="447"/>
      <c r="G41" s="447"/>
      <c r="H41" s="447"/>
      <c r="I41" s="447"/>
      <c r="J41" s="447"/>
      <c r="K41" s="447"/>
      <c r="L41" s="447"/>
      <c r="M41" s="448"/>
    </row>
    <row r="42" spans="2:13" x14ac:dyDescent="0.25">
      <c r="B42" s="109" t="s">
        <v>356</v>
      </c>
      <c r="C42" s="165">
        <v>17.899999999999999</v>
      </c>
      <c r="D42" s="99" t="str">
        <f>CONCATENATE("Euro/",$C$8,"/jaar")</f>
        <v>Euro/kW/jaar</v>
      </c>
      <c r="E42" s="447" t="s">
        <v>357</v>
      </c>
      <c r="F42" s="447"/>
      <c r="G42" s="447"/>
      <c r="H42" s="447"/>
      <c r="I42" s="447"/>
      <c r="J42" s="447"/>
      <c r="K42" s="447"/>
      <c r="L42" s="447"/>
      <c r="M42" s="448"/>
    </row>
    <row r="43" spans="2:13" x14ac:dyDescent="0.25">
      <c r="B43" s="109" t="s">
        <v>358</v>
      </c>
      <c r="C43" s="165"/>
      <c r="D43" s="99" t="str">
        <f>CONCATENATE("Euro/",$C$8,"/jaar")</f>
        <v>Euro/kW/jaar</v>
      </c>
      <c r="E43" s="447" t="s">
        <v>357</v>
      </c>
      <c r="F43" s="447"/>
      <c r="G43" s="447"/>
      <c r="H43" s="447"/>
      <c r="I43" s="447"/>
      <c r="J43" s="447"/>
      <c r="K43" s="447"/>
      <c r="L43" s="447"/>
      <c r="M43" s="448"/>
    </row>
    <row r="44" spans="2:13" x14ac:dyDescent="0.25">
      <c r="B44" s="96" t="s">
        <v>359</v>
      </c>
      <c r="C44" s="141">
        <f>(C42*C21+C43*SUM(C26,C28))/1000</f>
        <v>44.75</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2.8999999999999998E-3</v>
      </c>
      <c r="D48" s="99" t="str">
        <f>CONCATENATE("Euro/",$C$7)</f>
        <v>Euro/kWh</v>
      </c>
      <c r="E48" s="447"/>
      <c r="F48" s="447"/>
      <c r="G48" s="447"/>
      <c r="H48" s="447"/>
      <c r="I48" s="447"/>
      <c r="J48" s="447"/>
      <c r="K48" s="447"/>
      <c r="L48" s="447"/>
      <c r="M48" s="448"/>
    </row>
    <row r="49" spans="2:13" x14ac:dyDescent="0.25">
      <c r="B49" s="97" t="s">
        <v>366</v>
      </c>
      <c r="C49" s="142">
        <f>SUM(C45:C48)</f>
        <v>2.8999999999999998E-3</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IF(C52=0,,C21*MAX(C29,C30)*C180/C52/1000)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4.8000000000000001E-2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4.8000000000000001E-2</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15</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t="s">
        <v>503</v>
      </c>
      <c r="D80" s="99" t="s">
        <v>406</v>
      </c>
      <c r="E80" s="447" t="s">
        <v>407</v>
      </c>
      <c r="F80" s="447"/>
      <c r="G80" s="447"/>
      <c r="H80" s="447"/>
      <c r="I80" s="447"/>
      <c r="J80" s="447"/>
      <c r="K80" s="447"/>
      <c r="L80" s="447"/>
      <c r="M80" s="448"/>
    </row>
    <row r="81" spans="2:13" x14ac:dyDescent="0.25">
      <c r="B81" s="96" t="s">
        <v>408</v>
      </c>
      <c r="C81" s="171" t="s">
        <v>503</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27375000</v>
      </c>
      <c r="D84" s="98" t="str">
        <f>C7</f>
        <v>kWh</v>
      </c>
      <c r="E84" s="447"/>
      <c r="F84" s="447"/>
      <c r="G84" s="447"/>
      <c r="H84" s="447"/>
      <c r="I84" s="447"/>
      <c r="J84" s="447"/>
      <c r="K84" s="447"/>
      <c r="L84" s="447"/>
      <c r="M84" s="448"/>
    </row>
    <row r="85" spans="2:13" x14ac:dyDescent="0.25">
      <c r="B85" s="113" t="s">
        <v>413</v>
      </c>
      <c r="C85" s="145">
        <f>IF(C77=0,SUM(E118:INDEX(E118:AR118,1,C73)),SUM(E118:INDEX(E118:AR118,1,C77)))</f>
        <v>27375000</v>
      </c>
      <c r="D85" s="98" t="str">
        <f>C7</f>
        <v>kWh</v>
      </c>
      <c r="E85" s="447"/>
      <c r="F85" s="447"/>
      <c r="G85" s="447"/>
      <c r="H85" s="447"/>
      <c r="I85" s="447"/>
      <c r="J85" s="447"/>
      <c r="K85" s="447"/>
      <c r="L85" s="447"/>
      <c r="M85" s="448"/>
    </row>
    <row r="86" spans="2:13" x14ac:dyDescent="0.25">
      <c r="B86" s="114" t="s">
        <v>414</v>
      </c>
      <c r="C86" s="146">
        <f>C85/C84</f>
        <v>1</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0.04</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0.75</v>
      </c>
      <c r="D92" s="99"/>
      <c r="E92" s="447"/>
      <c r="F92" s="447"/>
      <c r="G92" s="447"/>
      <c r="H92" s="447"/>
      <c r="I92" s="447"/>
      <c r="J92" s="447"/>
      <c r="K92" s="447"/>
      <c r="L92" s="447"/>
      <c r="M92" s="448"/>
    </row>
    <row r="93" spans="2:13" x14ac:dyDescent="0.25">
      <c r="B93" s="96" t="s">
        <v>420</v>
      </c>
      <c r="C93" s="46">
        <v>0.25</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t="s">
        <v>79</v>
      </c>
      <c r="D100" s="103"/>
      <c r="E100" s="445" t="s">
        <v>63</v>
      </c>
      <c r="F100" s="445"/>
      <c r="G100" s="445"/>
      <c r="H100" s="445"/>
      <c r="I100" s="445"/>
      <c r="J100" s="445"/>
      <c r="K100" s="445"/>
      <c r="L100" s="445"/>
      <c r="M100" s="446"/>
    </row>
    <row r="101" spans="1:44" x14ac:dyDescent="0.25">
      <c r="B101" s="108" t="s">
        <v>79</v>
      </c>
      <c r="C101" s="173">
        <v>13</v>
      </c>
      <c r="D101" s="174">
        <v>-35000</v>
      </c>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-1226631.25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1825000</v>
      </c>
      <c r="F115" s="379">
        <f t="shared" si="4"/>
        <v>1825000</v>
      </c>
      <c r="G115" s="379">
        <f t="shared" si="4"/>
        <v>1825000</v>
      </c>
      <c r="H115" s="379">
        <f t="shared" si="4"/>
        <v>1825000</v>
      </c>
      <c r="I115" s="379">
        <f t="shared" si="4"/>
        <v>1825000</v>
      </c>
      <c r="J115" s="379">
        <f t="shared" si="4"/>
        <v>1825000</v>
      </c>
      <c r="K115" s="379">
        <f t="shared" si="4"/>
        <v>1825000</v>
      </c>
      <c r="L115" s="379">
        <f t="shared" si="4"/>
        <v>1825000</v>
      </c>
      <c r="M115" s="379">
        <f t="shared" si="4"/>
        <v>1825000</v>
      </c>
      <c r="N115" s="379">
        <f t="shared" si="4"/>
        <v>1825000</v>
      </c>
      <c r="O115" s="379">
        <f t="shared" si="4"/>
        <v>1825000</v>
      </c>
      <c r="P115" s="379">
        <f t="shared" si="4"/>
        <v>1825000</v>
      </c>
      <c r="Q115" s="379">
        <f t="shared" si="4"/>
        <v>1825000</v>
      </c>
      <c r="R115" s="379">
        <f t="shared" si="4"/>
        <v>1825000</v>
      </c>
      <c r="S115" s="379">
        <f t="shared" si="4"/>
        <v>1825000</v>
      </c>
      <c r="T115" s="379">
        <f t="shared" si="4"/>
        <v>0</v>
      </c>
      <c r="U115" s="379">
        <f t="shared" si="4"/>
        <v>0</v>
      </c>
      <c r="V115" s="379">
        <f t="shared" si="4"/>
        <v>0</v>
      </c>
      <c r="W115" s="379">
        <f t="shared" si="4"/>
        <v>0</v>
      </c>
      <c r="X115" s="379">
        <f t="shared" si="4"/>
        <v>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IF(OR(E112&gt;$C$73,$C$23&lt;&gt;"JA"),0,$C$26*$C$29*$C$183/$C$182)</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1825000</v>
      </c>
      <c r="F118" s="150">
        <f t="shared" ref="F118:AR118" si="7">SUM(F115:F117)</f>
        <v>1825000</v>
      </c>
      <c r="G118" s="150">
        <f t="shared" si="7"/>
        <v>1825000</v>
      </c>
      <c r="H118" s="150">
        <f t="shared" si="7"/>
        <v>1825000</v>
      </c>
      <c r="I118" s="150">
        <f t="shared" si="7"/>
        <v>1825000</v>
      </c>
      <c r="J118" s="150">
        <f t="shared" si="7"/>
        <v>1825000</v>
      </c>
      <c r="K118" s="150">
        <f t="shared" si="7"/>
        <v>1825000</v>
      </c>
      <c r="L118" s="150">
        <f t="shared" si="7"/>
        <v>1825000</v>
      </c>
      <c r="M118" s="150">
        <f t="shared" si="7"/>
        <v>1825000</v>
      </c>
      <c r="N118" s="150">
        <f t="shared" si="7"/>
        <v>1825000</v>
      </c>
      <c r="O118" s="150">
        <f t="shared" si="7"/>
        <v>1825000</v>
      </c>
      <c r="P118" s="150">
        <f t="shared" si="7"/>
        <v>1825000</v>
      </c>
      <c r="Q118" s="150">
        <f t="shared" si="7"/>
        <v>1825000</v>
      </c>
      <c r="R118" s="150">
        <f t="shared" si="7"/>
        <v>1825000</v>
      </c>
      <c r="S118" s="150">
        <f t="shared" si="7"/>
        <v>1825000</v>
      </c>
      <c r="T118" s="150">
        <f t="shared" si="7"/>
        <v>0</v>
      </c>
      <c r="U118" s="150">
        <f t="shared" si="7"/>
        <v>0</v>
      </c>
      <c r="V118" s="150">
        <f t="shared" si="7"/>
        <v>0</v>
      </c>
      <c r="W118" s="150">
        <f t="shared" si="7"/>
        <v>0</v>
      </c>
      <c r="X118" s="150">
        <f t="shared" si="7"/>
        <v>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-50042.5</v>
      </c>
      <c r="F120" s="379">
        <f t="shared" ref="F120:AR120" si="8">IF(F112&gt;$C$73,0,-F109*(($C$42*$C$21+$C$43*SUM($C$26,$C$28))+F118*$C$49))+IF($C$101=F112,$D$101*F109,0)+IF($C$102=F112,$D$102*F109,0)+IF($C$103=F112,$D$103*F109,0)</f>
        <v>-51043.35</v>
      </c>
      <c r="G120" s="379">
        <f t="shared" si="8"/>
        <v>-52064.216999999997</v>
      </c>
      <c r="H120" s="379">
        <f t="shared" si="8"/>
        <v>-53105.501339999995</v>
      </c>
      <c r="I120" s="379">
        <f t="shared" si="8"/>
        <v>-54167.611366799996</v>
      </c>
      <c r="J120" s="379">
        <f t="shared" si="8"/>
        <v>-55250.963594136003</v>
      </c>
      <c r="K120" s="379">
        <f t="shared" si="8"/>
        <v>-56355.982866018727</v>
      </c>
      <c r="L120" s="379">
        <f t="shared" si="8"/>
        <v>-57483.102523339083</v>
      </c>
      <c r="M120" s="379">
        <f t="shared" si="8"/>
        <v>-58632.764573805871</v>
      </c>
      <c r="N120" s="379">
        <f t="shared" si="8"/>
        <v>-59805.41986528199</v>
      </c>
      <c r="O120" s="379">
        <f t="shared" si="8"/>
        <v>-61001.528262587635</v>
      </c>
      <c r="P120" s="379">
        <f t="shared" si="8"/>
        <v>-62221.558827839377</v>
      </c>
      <c r="Q120" s="379">
        <f t="shared" si="8"/>
        <v>-107854.45281408525</v>
      </c>
      <c r="R120" s="379">
        <f t="shared" si="8"/>
        <v>-64735.309804484088</v>
      </c>
      <c r="S120" s="379">
        <f t="shared" si="8"/>
        <v>-66030.016000573785</v>
      </c>
      <c r="T120" s="379">
        <f t="shared" si="8"/>
        <v>0</v>
      </c>
      <c r="U120" s="379">
        <f t="shared" si="8"/>
        <v>0</v>
      </c>
      <c r="V120" s="379">
        <f t="shared" si="8"/>
        <v>0</v>
      </c>
      <c r="W120" s="379">
        <f t="shared" si="8"/>
        <v>0</v>
      </c>
      <c r="X120" s="379">
        <f t="shared" si="8"/>
        <v>0</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-E109*$C$54/$C$52*$C$21*MAX($C$29,$C$30)*$C$184/1000)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0</v>
      </c>
      <c r="U122" s="382">
        <f t="shared" si="10"/>
        <v>0</v>
      </c>
      <c r="V122" s="382">
        <f t="shared" si="10"/>
        <v>0</v>
      </c>
      <c r="W122" s="382">
        <f t="shared" si="10"/>
        <v>0</v>
      </c>
      <c r="X122" s="382">
        <f t="shared" si="10"/>
        <v>0</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0</v>
      </c>
      <c r="U127" s="379">
        <f t="shared" si="15"/>
        <v>0</v>
      </c>
      <c r="V127" s="379">
        <f t="shared" si="15"/>
        <v>0</v>
      </c>
      <c r="W127" s="379">
        <f t="shared" si="15"/>
        <v>0</v>
      </c>
      <c r="X127" s="379">
        <f t="shared" si="15"/>
        <v>0</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0</v>
      </c>
      <c r="U130" s="379">
        <f t="shared" si="17"/>
        <v>0</v>
      </c>
      <c r="V130" s="379">
        <f t="shared" si="17"/>
        <v>0</v>
      </c>
      <c r="W130" s="379">
        <f t="shared" si="17"/>
        <v>0</v>
      </c>
      <c r="X130" s="379">
        <f t="shared" si="17"/>
        <v>0</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-50042.5</v>
      </c>
      <c r="F131" s="379">
        <f t="shared" si="18"/>
        <v>-51043.35</v>
      </c>
      <c r="G131" s="379">
        <f t="shared" si="18"/>
        <v>-52064.216999999997</v>
      </c>
      <c r="H131" s="379">
        <f t="shared" si="18"/>
        <v>-53105.501339999995</v>
      </c>
      <c r="I131" s="379">
        <f t="shared" si="18"/>
        <v>-54167.611366799996</v>
      </c>
      <c r="J131" s="379">
        <f t="shared" si="18"/>
        <v>-55250.963594136003</v>
      </c>
      <c r="K131" s="379">
        <f t="shared" si="18"/>
        <v>-56355.982866018727</v>
      </c>
      <c r="L131" s="379">
        <f t="shared" si="18"/>
        <v>-57483.102523339083</v>
      </c>
      <c r="M131" s="379">
        <f t="shared" si="18"/>
        <v>-58632.764573805871</v>
      </c>
      <c r="N131" s="379">
        <f t="shared" si="18"/>
        <v>-59805.41986528199</v>
      </c>
      <c r="O131" s="379">
        <f t="shared" si="18"/>
        <v>-61001.528262587635</v>
      </c>
      <c r="P131" s="379">
        <f t="shared" si="18"/>
        <v>-62221.558827839377</v>
      </c>
      <c r="Q131" s="379">
        <f t="shared" si="18"/>
        <v>-107854.45281408525</v>
      </c>
      <c r="R131" s="379">
        <f t="shared" si="18"/>
        <v>-64735.309804484088</v>
      </c>
      <c r="S131" s="379">
        <f t="shared" si="18"/>
        <v>-66030.016000573785</v>
      </c>
      <c r="T131" s="379">
        <f t="shared" si="18"/>
        <v>0</v>
      </c>
      <c r="U131" s="379">
        <f t="shared" si="18"/>
        <v>0</v>
      </c>
      <c r="V131" s="379">
        <f t="shared" si="18"/>
        <v>0</v>
      </c>
      <c r="W131" s="379">
        <f t="shared" si="18"/>
        <v>0</v>
      </c>
      <c r="X131" s="379">
        <f t="shared" si="18"/>
        <v>0</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-50042.5</v>
      </c>
      <c r="F132" s="386">
        <f t="shared" ref="F132:AR132" si="19">SUM(F130:F131)</f>
        <v>-51043.35</v>
      </c>
      <c r="G132" s="386">
        <f t="shared" si="19"/>
        <v>-52064.216999999997</v>
      </c>
      <c r="H132" s="386">
        <f t="shared" si="19"/>
        <v>-53105.501339999995</v>
      </c>
      <c r="I132" s="386">
        <f t="shared" si="19"/>
        <v>-54167.611366799996</v>
      </c>
      <c r="J132" s="386">
        <f t="shared" si="19"/>
        <v>-55250.963594136003</v>
      </c>
      <c r="K132" s="386">
        <f t="shared" si="19"/>
        <v>-56355.982866018727</v>
      </c>
      <c r="L132" s="386">
        <f t="shared" si="19"/>
        <v>-57483.102523339083</v>
      </c>
      <c r="M132" s="386">
        <f t="shared" si="19"/>
        <v>-58632.764573805871</v>
      </c>
      <c r="N132" s="386">
        <f t="shared" si="19"/>
        <v>-59805.41986528199</v>
      </c>
      <c r="O132" s="386">
        <f t="shared" si="19"/>
        <v>-61001.528262587635</v>
      </c>
      <c r="P132" s="386">
        <f t="shared" si="19"/>
        <v>-62221.558827839377</v>
      </c>
      <c r="Q132" s="386">
        <f t="shared" si="19"/>
        <v>-107854.45281408525</v>
      </c>
      <c r="R132" s="386">
        <f t="shared" si="19"/>
        <v>-64735.309804484088</v>
      </c>
      <c r="S132" s="386">
        <f t="shared" si="19"/>
        <v>-66030.016000573785</v>
      </c>
      <c r="T132" s="386">
        <f t="shared" si="19"/>
        <v>0</v>
      </c>
      <c r="U132" s="386">
        <f t="shared" si="19"/>
        <v>0</v>
      </c>
      <c r="V132" s="386">
        <f t="shared" si="19"/>
        <v>0</v>
      </c>
      <c r="W132" s="386">
        <f t="shared" si="19"/>
        <v>0</v>
      </c>
      <c r="X132" s="386">
        <f t="shared" si="19"/>
        <v>0</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-81775.416666666672</v>
      </c>
      <c r="F134" s="379">
        <f t="shared" si="20"/>
        <v>-81775.416666666672</v>
      </c>
      <c r="G134" s="379">
        <f t="shared" si="20"/>
        <v>-81775.416666666672</v>
      </c>
      <c r="H134" s="379">
        <f t="shared" si="20"/>
        <v>-81775.416666666672</v>
      </c>
      <c r="I134" s="379">
        <f t="shared" si="20"/>
        <v>-81775.416666666672</v>
      </c>
      <c r="J134" s="379">
        <f t="shared" si="20"/>
        <v>-81775.416666666672</v>
      </c>
      <c r="K134" s="379">
        <f t="shared" si="20"/>
        <v>-81775.416666666672</v>
      </c>
      <c r="L134" s="379">
        <f t="shared" si="20"/>
        <v>-81775.416666666672</v>
      </c>
      <c r="M134" s="379">
        <f t="shared" si="20"/>
        <v>-81775.416666666672</v>
      </c>
      <c r="N134" s="379">
        <f t="shared" si="20"/>
        <v>-81775.416666666672</v>
      </c>
      <c r="O134" s="379">
        <f t="shared" si="20"/>
        <v>-81775.416666666672</v>
      </c>
      <c r="P134" s="379">
        <f t="shared" si="20"/>
        <v>-81775.416666666672</v>
      </c>
      <c r="Q134" s="379">
        <f t="shared" si="20"/>
        <v>-81775.416666666672</v>
      </c>
      <c r="R134" s="379">
        <f t="shared" si="20"/>
        <v>-81775.416666666672</v>
      </c>
      <c r="S134" s="379">
        <f t="shared" si="20"/>
        <v>-81775.416666666672</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-36798.9375</v>
      </c>
      <c r="F135" s="379">
        <f t="shared" si="21"/>
        <v>-34961.158068767327</v>
      </c>
      <c r="G135" s="379">
        <f t="shared" si="21"/>
        <v>-33049.867460285357</v>
      </c>
      <c r="H135" s="379">
        <f t="shared" si="21"/>
        <v>-31062.125227464097</v>
      </c>
      <c r="I135" s="379">
        <f t="shared" si="21"/>
        <v>-28994.873305329995</v>
      </c>
      <c r="J135" s="379">
        <f t="shared" si="21"/>
        <v>-26844.931306310522</v>
      </c>
      <c r="K135" s="379">
        <f t="shared" si="21"/>
        <v>-24608.991627330273</v>
      </c>
      <c r="L135" s="379">
        <f t="shared" si="21"/>
        <v>-22283.614361190816</v>
      </c>
      <c r="M135" s="379">
        <f t="shared" si="21"/>
        <v>-19865.222004405776</v>
      </c>
      <c r="N135" s="379">
        <f t="shared" si="21"/>
        <v>-17350.09395334934</v>
      </c>
      <c r="O135" s="379">
        <f t="shared" si="21"/>
        <v>-14734.360780250643</v>
      </c>
      <c r="P135" s="379">
        <f t="shared" si="21"/>
        <v>-12013.998280228001</v>
      </c>
      <c r="Q135" s="379">
        <f t="shared" si="21"/>
        <v>-9184.8212802044527</v>
      </c>
      <c r="R135" s="379">
        <f t="shared" si="21"/>
        <v>-6242.4772001799602</v>
      </c>
      <c r="S135" s="379">
        <f t="shared" si="21"/>
        <v>-3182.43935695449</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-45944.485780816743</v>
      </c>
      <c r="F136" s="379">
        <f t="shared" si="22"/>
        <v>-47782.265212049402</v>
      </c>
      <c r="G136" s="379">
        <f t="shared" si="22"/>
        <v>-49693.555820531379</v>
      </c>
      <c r="H136" s="379">
        <f t="shared" si="22"/>
        <v>-51681.298053352635</v>
      </c>
      <c r="I136" s="379">
        <f t="shared" si="22"/>
        <v>-53748.549975486741</v>
      </c>
      <c r="J136" s="379">
        <f t="shared" si="22"/>
        <v>-55898.491974506214</v>
      </c>
      <c r="K136" s="379">
        <f t="shared" si="22"/>
        <v>-58134.431653486456</v>
      </c>
      <c r="L136" s="379">
        <f t="shared" si="22"/>
        <v>-60459.808919625917</v>
      </c>
      <c r="M136" s="379">
        <f t="shared" si="22"/>
        <v>-62878.20127641096</v>
      </c>
      <c r="N136" s="379">
        <f t="shared" si="22"/>
        <v>-65393.329327467392</v>
      </c>
      <c r="O136" s="379">
        <f t="shared" si="22"/>
        <v>-68009.062500566084</v>
      </c>
      <c r="P136" s="379">
        <f t="shared" si="22"/>
        <v>-70729.42500058873</v>
      </c>
      <c r="Q136" s="379">
        <f t="shared" si="22"/>
        <v>-73558.602000612285</v>
      </c>
      <c r="R136" s="379">
        <f t="shared" si="22"/>
        <v>-76500.946080636772</v>
      </c>
      <c r="S136" s="379">
        <f t="shared" si="22"/>
        <v>-79560.983923862237</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-82743.423280816743</v>
      </c>
      <c r="F137" s="386">
        <f t="shared" ref="F137:AR137" si="23">SUM(F135,F136)</f>
        <v>-82743.423280816729</v>
      </c>
      <c r="G137" s="386">
        <f t="shared" si="23"/>
        <v>-82743.423280816729</v>
      </c>
      <c r="H137" s="386">
        <f t="shared" si="23"/>
        <v>-82743.423280816729</v>
      </c>
      <c r="I137" s="386">
        <f t="shared" si="23"/>
        <v>-82743.423280816729</v>
      </c>
      <c r="J137" s="386">
        <f t="shared" si="23"/>
        <v>-82743.423280816729</v>
      </c>
      <c r="K137" s="386">
        <f t="shared" si="23"/>
        <v>-82743.423280816729</v>
      </c>
      <c r="L137" s="386">
        <f t="shared" si="23"/>
        <v>-82743.423280816729</v>
      </c>
      <c r="M137" s="386">
        <f t="shared" si="23"/>
        <v>-82743.423280816729</v>
      </c>
      <c r="N137" s="386">
        <f t="shared" si="23"/>
        <v>-82743.423280816729</v>
      </c>
      <c r="O137" s="386">
        <f t="shared" si="23"/>
        <v>-82743.423280816729</v>
      </c>
      <c r="P137" s="386">
        <f t="shared" si="23"/>
        <v>-82743.423280816729</v>
      </c>
      <c r="Q137" s="386">
        <f t="shared" si="23"/>
        <v>-82743.423280816743</v>
      </c>
      <c r="R137" s="386">
        <f t="shared" si="23"/>
        <v>-82743.423280816729</v>
      </c>
      <c r="S137" s="386">
        <f t="shared" si="23"/>
        <v>-82743.423280816729</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-168616.85416666669</v>
      </c>
      <c r="F139" s="379">
        <f t="shared" ref="F139:AR139" si="24">F132+F134+F135</f>
        <v>-167779.924735434</v>
      </c>
      <c r="G139" s="379">
        <f t="shared" si="24"/>
        <v>-166889.501126952</v>
      </c>
      <c r="H139" s="379">
        <f t="shared" si="24"/>
        <v>-165943.04323413078</v>
      </c>
      <c r="I139" s="379">
        <f t="shared" si="24"/>
        <v>-164937.90133879666</v>
      </c>
      <c r="J139" s="379">
        <f t="shared" si="24"/>
        <v>-163871.31156711321</v>
      </c>
      <c r="K139" s="379">
        <f t="shared" si="24"/>
        <v>-162740.39116001569</v>
      </c>
      <c r="L139" s="379">
        <f t="shared" si="24"/>
        <v>-161542.13355119657</v>
      </c>
      <c r="M139" s="379">
        <f t="shared" si="24"/>
        <v>-160273.40324487831</v>
      </c>
      <c r="N139" s="379">
        <f t="shared" si="24"/>
        <v>-158930.93048529798</v>
      </c>
      <c r="O139" s="379">
        <f t="shared" si="24"/>
        <v>-157511.30570950493</v>
      </c>
      <c r="P139" s="379">
        <f t="shared" si="24"/>
        <v>-156010.97377473404</v>
      </c>
      <c r="Q139" s="379">
        <f t="shared" si="24"/>
        <v>-198814.69076095638</v>
      </c>
      <c r="R139" s="379">
        <f t="shared" si="24"/>
        <v>-152753.20367133073</v>
      </c>
      <c r="S139" s="379">
        <f t="shared" si="24"/>
        <v>-150987.87202419492</v>
      </c>
      <c r="T139" s="379">
        <f t="shared" si="24"/>
        <v>0</v>
      </c>
      <c r="U139" s="379">
        <f t="shared" si="24"/>
        <v>0</v>
      </c>
      <c r="V139" s="379">
        <f t="shared" si="24"/>
        <v>0</v>
      </c>
      <c r="W139" s="379">
        <f t="shared" si="24"/>
        <v>0</v>
      </c>
      <c r="X139" s="379">
        <f t="shared" si="24"/>
        <v>0</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32037.202291666672</v>
      </c>
      <c r="F140" s="379">
        <f t="shared" si="25"/>
        <v>31878.185699732461</v>
      </c>
      <c r="G140" s="379">
        <f t="shared" si="25"/>
        <v>31709.00521412088</v>
      </c>
      <c r="H140" s="379">
        <f t="shared" si="25"/>
        <v>31529.178214484848</v>
      </c>
      <c r="I140" s="379">
        <f t="shared" si="25"/>
        <v>31338.201254371364</v>
      </c>
      <c r="J140" s="379">
        <f t="shared" si="25"/>
        <v>31135.549197751512</v>
      </c>
      <c r="K140" s="379">
        <f t="shared" si="25"/>
        <v>30920.674320402981</v>
      </c>
      <c r="L140" s="379">
        <f t="shared" si="25"/>
        <v>30693.005374727349</v>
      </c>
      <c r="M140" s="379">
        <f t="shared" si="25"/>
        <v>30451.946616526879</v>
      </c>
      <c r="N140" s="379">
        <f t="shared" si="25"/>
        <v>30196.876792206618</v>
      </c>
      <c r="O140" s="379">
        <f t="shared" si="25"/>
        <v>29927.148084805936</v>
      </c>
      <c r="P140" s="379">
        <f t="shared" si="25"/>
        <v>29642.085017199468</v>
      </c>
      <c r="Q140" s="379">
        <f t="shared" si="25"/>
        <v>37774.791244581713</v>
      </c>
      <c r="R140" s="379">
        <f t="shared" si="25"/>
        <v>29023.108697552838</v>
      </c>
      <c r="S140" s="379">
        <f t="shared" si="25"/>
        <v>28687.695684597034</v>
      </c>
      <c r="T140" s="379">
        <f t="shared" si="25"/>
        <v>0</v>
      </c>
      <c r="U140" s="379">
        <f t="shared" si="25"/>
        <v>0</v>
      </c>
      <c r="V140" s="379">
        <f t="shared" si="25"/>
        <v>0</v>
      </c>
      <c r="W140" s="379">
        <f t="shared" si="25"/>
        <v>0</v>
      </c>
      <c r="X140" s="379">
        <f t="shared" si="25"/>
        <v>0</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-100748.72098915008</v>
      </c>
      <c r="F142" s="386">
        <f t="shared" si="26"/>
        <v>-101908.58758108427</v>
      </c>
      <c r="G142" s="386">
        <f t="shared" si="26"/>
        <v>-103098.63506669586</v>
      </c>
      <c r="H142" s="386">
        <f t="shared" si="26"/>
        <v>-104319.74640633186</v>
      </c>
      <c r="I142" s="386">
        <f t="shared" si="26"/>
        <v>-105572.83339324537</v>
      </c>
      <c r="J142" s="386">
        <f t="shared" si="26"/>
        <v>-106858.83767720123</v>
      </c>
      <c r="K142" s="386">
        <f t="shared" si="26"/>
        <v>-108178.73182643247</v>
      </c>
      <c r="L142" s="386">
        <f t="shared" si="26"/>
        <v>-109533.52042942845</v>
      </c>
      <c r="M142" s="386">
        <f t="shared" si="26"/>
        <v>-110924.24123809572</v>
      </c>
      <c r="N142" s="386">
        <f t="shared" si="26"/>
        <v>-112351.9663538921</v>
      </c>
      <c r="O142" s="386">
        <f t="shared" si="26"/>
        <v>-113817.80345859844</v>
      </c>
      <c r="P142" s="386">
        <f t="shared" si="26"/>
        <v>-115322.89709145665</v>
      </c>
      <c r="Q142" s="386">
        <f t="shared" si="26"/>
        <v>-152823.08485032027</v>
      </c>
      <c r="R142" s="386">
        <f t="shared" si="26"/>
        <v>-118455.62438774799</v>
      </c>
      <c r="S142" s="386">
        <f t="shared" si="26"/>
        <v>-120085.74359679347</v>
      </c>
      <c r="T142" s="386">
        <f t="shared" si="26"/>
        <v>0</v>
      </c>
      <c r="U142" s="386">
        <f t="shared" si="26"/>
        <v>0</v>
      </c>
      <c r="V142" s="386">
        <f t="shared" si="26"/>
        <v>0</v>
      </c>
      <c r="W142" s="386">
        <f t="shared" si="26"/>
        <v>0</v>
      </c>
      <c r="X142" s="386">
        <f t="shared" si="26"/>
        <v>0</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-1226631.25</v>
      </c>
      <c r="E143" s="379">
        <f>E132+E140</f>
        <v>-18005.297708333328</v>
      </c>
      <c r="F143" s="379">
        <f t="shared" ref="F143:AR143" si="27">F132+F140</f>
        <v>-19165.164300267537</v>
      </c>
      <c r="G143" s="379">
        <f t="shared" si="27"/>
        <v>-20355.211785879117</v>
      </c>
      <c r="H143" s="379">
        <f t="shared" si="27"/>
        <v>-21576.323125515148</v>
      </c>
      <c r="I143" s="379">
        <f t="shared" si="27"/>
        <v>-22829.410112428632</v>
      </c>
      <c r="J143" s="379">
        <f t="shared" si="27"/>
        <v>-24115.414396384491</v>
      </c>
      <c r="K143" s="379">
        <f t="shared" si="27"/>
        <v>-25435.308545615746</v>
      </c>
      <c r="L143" s="379">
        <f t="shared" si="27"/>
        <v>-26790.097148611734</v>
      </c>
      <c r="M143" s="379">
        <f t="shared" si="27"/>
        <v>-28180.817957278992</v>
      </c>
      <c r="N143" s="379">
        <f t="shared" si="27"/>
        <v>-29608.543073075372</v>
      </c>
      <c r="O143" s="379">
        <f t="shared" si="27"/>
        <v>-31074.380177781699</v>
      </c>
      <c r="P143" s="379">
        <f t="shared" si="27"/>
        <v>-32579.473810639909</v>
      </c>
      <c r="Q143" s="379">
        <f t="shared" si="27"/>
        <v>-70079.661569503543</v>
      </c>
      <c r="R143" s="379">
        <f t="shared" si="27"/>
        <v>-35712.20110693125</v>
      </c>
      <c r="S143" s="379">
        <f t="shared" si="27"/>
        <v>-37342.320315976751</v>
      </c>
      <c r="T143" s="379">
        <f t="shared" si="27"/>
        <v>0</v>
      </c>
      <c r="U143" s="379">
        <f t="shared" si="27"/>
        <v>0</v>
      </c>
      <c r="V143" s="379">
        <f t="shared" si="27"/>
        <v>0</v>
      </c>
      <c r="W143" s="379">
        <f t="shared" si="27"/>
        <v>0</v>
      </c>
      <c r="X143" s="379">
        <f t="shared" si="27"/>
        <v>0</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-306657.8125</v>
      </c>
      <c r="E144" s="379">
        <f>E142</f>
        <v>-100748.72098915008</v>
      </c>
      <c r="F144" s="379">
        <f t="shared" ref="F144:AR144" si="28">F142</f>
        <v>-101908.58758108427</v>
      </c>
      <c r="G144" s="379">
        <f t="shared" si="28"/>
        <v>-103098.63506669586</v>
      </c>
      <c r="H144" s="379">
        <f t="shared" si="28"/>
        <v>-104319.74640633186</v>
      </c>
      <c r="I144" s="379">
        <f t="shared" si="28"/>
        <v>-105572.83339324537</v>
      </c>
      <c r="J144" s="379">
        <f t="shared" si="28"/>
        <v>-106858.83767720123</v>
      </c>
      <c r="K144" s="379">
        <f t="shared" si="28"/>
        <v>-108178.73182643247</v>
      </c>
      <c r="L144" s="379">
        <f t="shared" si="28"/>
        <v>-109533.52042942845</v>
      </c>
      <c r="M144" s="379">
        <f t="shared" si="28"/>
        <v>-110924.24123809572</v>
      </c>
      <c r="N144" s="379">
        <f t="shared" si="28"/>
        <v>-112351.9663538921</v>
      </c>
      <c r="O144" s="379">
        <f t="shared" si="28"/>
        <v>-113817.80345859844</v>
      </c>
      <c r="P144" s="379">
        <f t="shared" si="28"/>
        <v>-115322.89709145665</v>
      </c>
      <c r="Q144" s="379">
        <f t="shared" si="28"/>
        <v>-152823.08485032027</v>
      </c>
      <c r="R144" s="379">
        <f t="shared" si="28"/>
        <v>-118455.62438774799</v>
      </c>
      <c r="S144" s="379">
        <f t="shared" si="28"/>
        <v>-120085.74359679347</v>
      </c>
      <c r="T144" s="379">
        <f t="shared" si="28"/>
        <v>0</v>
      </c>
      <c r="U144" s="379">
        <f t="shared" si="28"/>
        <v>0</v>
      </c>
      <c r="V144" s="379">
        <f t="shared" si="28"/>
        <v>0</v>
      </c>
      <c r="W144" s="379">
        <f t="shared" si="28"/>
        <v>0</v>
      </c>
      <c r="X144" s="379">
        <f t="shared" si="28"/>
        <v>0</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1825000</v>
      </c>
      <c r="F145" s="379">
        <f t="shared" si="29"/>
        <v>1825000</v>
      </c>
      <c r="G145" s="379">
        <f t="shared" si="29"/>
        <v>1825000</v>
      </c>
      <c r="H145" s="379">
        <f t="shared" si="29"/>
        <v>1825000</v>
      </c>
      <c r="I145" s="379">
        <f t="shared" si="29"/>
        <v>1825000</v>
      </c>
      <c r="J145" s="379">
        <f t="shared" si="29"/>
        <v>1825000</v>
      </c>
      <c r="K145" s="379">
        <f t="shared" si="29"/>
        <v>1825000</v>
      </c>
      <c r="L145" s="379">
        <f t="shared" si="29"/>
        <v>1825000</v>
      </c>
      <c r="M145" s="379">
        <f t="shared" si="29"/>
        <v>1825000</v>
      </c>
      <c r="N145" s="379">
        <f t="shared" si="29"/>
        <v>1825000</v>
      </c>
      <c r="O145" s="379">
        <f t="shared" si="29"/>
        <v>1825000</v>
      </c>
      <c r="P145" s="379">
        <f t="shared" si="29"/>
        <v>1825000</v>
      </c>
      <c r="Q145" s="379">
        <f t="shared" si="29"/>
        <v>1825000</v>
      </c>
      <c r="R145" s="379">
        <f t="shared" si="29"/>
        <v>1825000</v>
      </c>
      <c r="S145" s="379">
        <f t="shared" si="29"/>
        <v>1825000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1226631.25</v>
      </c>
      <c r="E146" s="123">
        <f>IF(E112&lt;=$C76,D146-($C$5*E118+E132+E135),D146-(E132+E135))</f>
        <v>1137360.1875</v>
      </c>
      <c r="F146" s="123">
        <f t="shared" ref="F146:AR146" si="30">IF(F112&lt;=$C76,E146-($C$5*F118+F132+F135),E146-(F132+F135))</f>
        <v>1047252.1955687674</v>
      </c>
      <c r="G146" s="123">
        <f t="shared" si="30"/>
        <v>956253.78002905275</v>
      </c>
      <c r="H146" s="123">
        <f t="shared" si="30"/>
        <v>864308.90659651684</v>
      </c>
      <c r="I146" s="123">
        <f>IF(I112&lt;=$C76,H146-($C$5*I118+I132+I135),H146-(I132+I135))</f>
        <v>771358.89126864681</v>
      </c>
      <c r="J146" s="123">
        <f t="shared" si="30"/>
        <v>677342.28616909334</v>
      </c>
      <c r="K146" s="123">
        <f>IF(K112&lt;=$C76,J146-($C$5*K118+K132+K135),J146-(K132+K135))</f>
        <v>582194.76066244231</v>
      </c>
      <c r="L146" s="123">
        <f t="shared" si="30"/>
        <v>485848.97754697222</v>
      </c>
      <c r="M146" s="123">
        <f t="shared" si="30"/>
        <v>388234.46412518388</v>
      </c>
      <c r="N146" s="123">
        <f t="shared" si="30"/>
        <v>289277.47794381517</v>
      </c>
      <c r="O146" s="123">
        <f t="shared" si="30"/>
        <v>188900.86698665348</v>
      </c>
      <c r="P146" s="123">
        <f t="shared" si="30"/>
        <v>87023.92409472086</v>
      </c>
      <c r="Q146" s="123">
        <f t="shared" si="30"/>
        <v>27950.69818901056</v>
      </c>
      <c r="R146" s="123">
        <f t="shared" si="30"/>
        <v>-77184.014806325402</v>
      </c>
      <c r="S146" s="123">
        <f t="shared" si="30"/>
        <v>-184084.05944879714</v>
      </c>
      <c r="T146" s="123">
        <f t="shared" si="30"/>
        <v>-184084.05944879714</v>
      </c>
      <c r="U146" s="123">
        <f t="shared" si="30"/>
        <v>-184084.05944879714</v>
      </c>
      <c r="V146" s="123">
        <f t="shared" si="30"/>
        <v>-184084.05944879714</v>
      </c>
      <c r="W146" s="123">
        <f t="shared" si="30"/>
        <v>-184084.05944879714</v>
      </c>
      <c r="X146" s="123">
        <f t="shared" si="30"/>
        <v>-184084.05944879714</v>
      </c>
      <c r="Y146" s="123">
        <f t="shared" si="30"/>
        <v>-184084.05944879714</v>
      </c>
      <c r="Z146" s="123">
        <f t="shared" si="30"/>
        <v>-184084.05944879714</v>
      </c>
      <c r="AA146" s="123">
        <f>IF(AA112&lt;=$C76,Z146-($C$5*AA118+AA132+AA135),Z146-(AA132+AA135))</f>
        <v>-184084.05944879714</v>
      </c>
      <c r="AB146" s="123">
        <f t="shared" si="30"/>
        <v>-184084.05944879714</v>
      </c>
      <c r="AC146" s="123">
        <f t="shared" si="30"/>
        <v>-184084.05944879714</v>
      </c>
      <c r="AD146" s="123">
        <f t="shared" si="30"/>
        <v>-184084.05944879714</v>
      </c>
      <c r="AE146" s="123">
        <f>IF(AE112&lt;=$C76,AD146-($C$5*AE118+AE132+AE135),AD146-(AE132+AE135))</f>
        <v>-184084.05944879714</v>
      </c>
      <c r="AF146" s="123">
        <f t="shared" si="30"/>
        <v>-184084.05944879714</v>
      </c>
      <c r="AG146" s="123">
        <f>IF(AG112&lt;=$C76,AF146-($C$5*AG118+AG132+AG135),AF146-(AG132+AG135))</f>
        <v>-184084.05944879714</v>
      </c>
      <c r="AH146" s="123">
        <f t="shared" si="30"/>
        <v>-184084.05944879714</v>
      </c>
      <c r="AI146" s="123">
        <f t="shared" si="30"/>
        <v>-184084.05944879714</v>
      </c>
      <c r="AJ146" s="123">
        <f t="shared" si="30"/>
        <v>-184084.05944879714</v>
      </c>
      <c r="AK146" s="123">
        <f t="shared" si="30"/>
        <v>-184084.05944879714</v>
      </c>
      <c r="AL146" s="123">
        <f t="shared" si="30"/>
        <v>-184084.05944879714</v>
      </c>
      <c r="AM146" s="123">
        <f t="shared" si="30"/>
        <v>-184084.05944879714</v>
      </c>
      <c r="AN146" s="123">
        <f t="shared" si="30"/>
        <v>-184084.05944879714</v>
      </c>
      <c r="AO146" s="123">
        <f t="shared" si="30"/>
        <v>-184084.05944879714</v>
      </c>
      <c r="AP146" s="123">
        <f t="shared" si="30"/>
        <v>-184084.05944879714</v>
      </c>
      <c r="AQ146" s="123">
        <f t="shared" si="30"/>
        <v>-184084.05944879714</v>
      </c>
      <c r="AR146" s="387">
        <f t="shared" si="30"/>
        <v>-184084.05944879714</v>
      </c>
    </row>
    <row r="147" spans="1:44" ht="13" thickBot="1" x14ac:dyDescent="0.3">
      <c r="B147" s="124" t="s">
        <v>473</v>
      </c>
      <c r="C147" s="125"/>
      <c r="D147" s="125"/>
      <c r="E147" s="126">
        <f t="shared" ref="E147:AR147" si="31">IF(E112&gt;$C$74,"",(-$C$94*(E139+$C$5*E118)+E132+$C$5*E118)/-E137)</f>
        <v>1.5064137105935353</v>
      </c>
      <c r="F147" s="126">
        <f t="shared" si="31"/>
        <v>1.4923960818087338</v>
      </c>
      <c r="G147" s="126">
        <f t="shared" si="31"/>
        <v>1.4780137002438238</v>
      </c>
      <c r="H147" s="126">
        <f t="shared" si="31"/>
        <v>1.4632558948350265</v>
      </c>
      <c r="I147" s="126">
        <f t="shared" si="31"/>
        <v>1.448111646056961</v>
      </c>
      <c r="J147" s="126">
        <f t="shared" si="31"/>
        <v>1.4325695735517976</v>
      </c>
      <c r="K147" s="126">
        <f t="shared" si="31"/>
        <v>1.4166179232949334</v>
      </c>
      <c r="L147" s="126">
        <f t="shared" si="31"/>
        <v>1.400244554279271</v>
      </c>
      <c r="M147" s="126">
        <f t="shared" si="31"/>
        <v>1.3834369246994869</v>
      </c>
      <c r="N147" s="126">
        <f t="shared" si="31"/>
        <v>1.3661820776169467</v>
      </c>
      <c r="O147" s="126">
        <f t="shared" si="31"/>
        <v>1.348466626085149</v>
      </c>
      <c r="P147" s="126">
        <f t="shared" si="31"/>
        <v>1.3302767377148046</v>
      </c>
      <c r="Q147" s="126">
        <f t="shared" si="31"/>
        <v>0.87706624349105755</v>
      </c>
      <c r="R147" s="126">
        <f t="shared" si="31"/>
        <v>1.292415996980651</v>
      </c>
      <c r="S147" s="126">
        <f t="shared" si="31"/>
        <v>1.2727151054244343</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-1034002.3581517882</v>
      </c>
      <c r="D150" s="57" t="s">
        <v>476</v>
      </c>
    </row>
    <row r="151" spans="1:44" x14ac:dyDescent="0.25">
      <c r="B151" s="26" t="s">
        <v>477</v>
      </c>
      <c r="C151" s="153">
        <f>(1-$C$94)*NPV($C$91,E145:AR145)</f>
        <v>13899495.23451224</v>
      </c>
      <c r="D151" s="58" t="str">
        <f>$C$7</f>
        <v>kWh</v>
      </c>
      <c r="F151" s="59"/>
    </row>
    <row r="152" spans="1:44" x14ac:dyDescent="0.25">
      <c r="B152" s="26" t="s">
        <v>478</v>
      </c>
      <c r="C152" s="153">
        <f>$C$41*1000000</f>
        <v>1226631.25</v>
      </c>
      <c r="D152" s="57" t="s">
        <v>424</v>
      </c>
      <c r="F152" s="60"/>
    </row>
    <row r="153" spans="1:44" x14ac:dyDescent="0.25">
      <c r="B153" s="26" t="s">
        <v>479</v>
      </c>
      <c r="C153" s="154">
        <f>AVERAGE(E147:AR147)</f>
        <v>1.3672121864451077</v>
      </c>
      <c r="D153" s="57"/>
      <c r="F153" s="60"/>
    </row>
    <row r="154" spans="1:44" x14ac:dyDescent="0.25">
      <c r="B154" s="26" t="s">
        <v>480</v>
      </c>
      <c r="C154" s="155" t="str">
        <f>CONCATENATE(ROUND(((1-$C$94)*$C$90*$C$92+$C$93*$C$91)*100,1),"% / ",ROUND((((1+(1-$C$94)*$C$90*$C$92+$C$93*$C$91)/(1+$C$89))-1)*100,1),"%")</f>
        <v>4.1% / 2%</v>
      </c>
      <c r="D154" s="57"/>
      <c r="F154" s="59"/>
      <c r="G154" s="61"/>
    </row>
    <row r="155" spans="1:44" x14ac:dyDescent="0.25">
      <c r="B155" s="26" t="s">
        <v>481</v>
      </c>
      <c r="C155" s="156" t="str">
        <f>IFERROR(IRR(D143:AR143),"n.v.t.")</f>
        <v>n.v.t.</v>
      </c>
      <c r="D155" s="57"/>
      <c r="F155" s="60"/>
      <c r="G155" s="61"/>
    </row>
    <row r="156" spans="1:44" x14ac:dyDescent="0.25">
      <c r="B156" s="26" t="s">
        <v>482</v>
      </c>
      <c r="C156" s="156" t="str">
        <f>IFERROR(IRR(D144:AR144),"n.v.t.")</f>
        <v>n.v.t.</v>
      </c>
      <c r="D156" s="57"/>
      <c r="G156" s="61"/>
    </row>
    <row r="157" spans="1:44" x14ac:dyDescent="0.25">
      <c r="B157" s="38" t="s">
        <v>483</v>
      </c>
      <c r="C157" s="153">
        <f>$C$92*C152-C97</f>
        <v>919973.4375</v>
      </c>
      <c r="D157" s="57" t="s">
        <v>424</v>
      </c>
      <c r="F157" s="35"/>
    </row>
    <row r="158" spans="1:44" x14ac:dyDescent="0.25">
      <c r="B158" s="38" t="s">
        <v>484</v>
      </c>
      <c r="C158" s="153">
        <f>$C$93*C152-C98</f>
        <v>306657.8125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730</v>
      </c>
      <c r="D160" s="57" t="s">
        <v>340</v>
      </c>
      <c r="F160" s="35"/>
    </row>
    <row r="161" spans="2:44" x14ac:dyDescent="0.25">
      <c r="B161" s="43" t="s">
        <v>487</v>
      </c>
      <c r="C161" s="461" t="str">
        <f>CONCATENATE( "tussen ", INDEX(D112:X112, MATCH(0,D146:X146, -1)), " en ",  1 + INDEX(D112:X112, MATCH(0,D146:X146, -1)), " jaar")</f>
        <v>tussen 13 en 14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333" t="s">
        <v>46</v>
      </c>
      <c r="C164" s="419" t="str">
        <f>IF($C12="","","")</f>
        <v/>
      </c>
      <c r="D164" s="334" t="str">
        <f t="shared" ref="D164:D174" si="32">CONCATENATE("Euro/",$C$7)</f>
        <v>Euro/kWh</v>
      </c>
    </row>
    <row r="165" spans="2:44" ht="14.65" customHeight="1" x14ac:dyDescent="0.25">
      <c r="B165" s="65" t="s">
        <v>489</v>
      </c>
      <c r="C165" s="345" t="str">
        <f>IF(C15&gt;0,C166&amp;" / "&amp;C167,ROUND(VLOOKUP($C12,Correcties!$A$4:$H$10,8),3))</f>
        <v>0.035 / 0.074</v>
      </c>
      <c r="D165" s="57" t="str">
        <f t="shared" si="32"/>
        <v>Euro/kWh</v>
      </c>
    </row>
    <row r="166" spans="2:44" x14ac:dyDescent="0.25">
      <c r="B166" s="26" t="s">
        <v>490</v>
      </c>
      <c r="C166" s="140">
        <f>IFERROR(ROUND(INDEX(Correcties!$A$1:$I$10,MATCH(C15,Correcties!$A$1:$A$10,0),8),decimalen),"n.v.t.")</f>
        <v>3.5000000000000003E-2</v>
      </c>
      <c r="D166" s="57" t="str">
        <f t="shared" si="32"/>
        <v>Euro/kWh</v>
      </c>
    </row>
    <row r="167" spans="2:44" s="10" customFormat="1" x14ac:dyDescent="0.25">
      <c r="B167" s="27" t="s">
        <v>33</v>
      </c>
      <c r="C167" s="343">
        <f>IFERROR(ROUND(INDEX(Correcties!$A$1:$I$11,MATCH(C16,Correcties!$A$1:$A$11,0),8),decimalen),"n.v.t.")</f>
        <v>7.3999999999999996E-2</v>
      </c>
      <c r="D167" s="66" t="str">
        <f t="shared" si="32"/>
        <v>Euro/kWh</v>
      </c>
    </row>
    <row r="168" spans="2:44" s="10" customFormat="1" x14ac:dyDescent="0.25">
      <c r="B168" s="93" t="s">
        <v>491</v>
      </c>
      <c r="C168" s="342" t="str">
        <f>IF(C16&gt;0,"netlevering: "&amp;ROUND(VLOOKUP($C$15,Correcties!$A$4:$M$11,6,FALSE),decimalen)&amp;", niet-netlevering: "&amp;ROUND(VLOOKUP($C$16,Correcties!$A$4:$M$11,6,FALSE),decimalen))</f>
        <v>netlevering: 0.052, niet-netlevering: 0.091</v>
      </c>
      <c r="D168" s="94" t="str">
        <f t="shared" si="32"/>
        <v>Euro/kWh</v>
      </c>
    </row>
    <row r="169" spans="2:44" s="10" customFormat="1" x14ac:dyDescent="0.25">
      <c r="B169" s="26" t="str">
        <f>"Voorlopig correctiebedrag "&amp;Colofon!$C$29</f>
        <v>Voorlopig correctiebedrag 2025</v>
      </c>
      <c r="C169" s="140" t="str">
        <f>IF(C16&gt;0,"netlevering: "&amp;ROUND(VLOOKUP($C$15,Correcties!$A$4:$M$11,4,FALSE),decimalen)&amp;", niet-netlevering: "&amp;ROUND(VLOOKUP($C$16,Correcties!$A$4:$M$11,4),decimalen))</f>
        <v>netlevering: 0.053, niet-netlevering: 0.093</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t="str">
        <f>IF(C16&gt;0,"netlevering: "&amp;ROUND(VLOOKUP($C$15,Correcties!$A$4:$M$11,12,FALSE),decimalen)&amp;", niet-netlevering: "&amp;ROUND(VLOOKUP($C$16,Correcties!$A$4:$M$11,12,FALSE),decimalen))</f>
        <v>netlevering: 0.004, niet-netlevering: 0</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3">
        <f>IFERROR(ROUND(INDEX(Correcties!$A$1:$K$10,MATCH(C15,Correcties!$A$1:$A$10,0),6),decimalen),"n.v.t.")</f>
        <v>5.1999999999999998E-2</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f>IFERROR(ROUND(INDEX(Correcties!$A$1:$K$11,MATCH(C16,Correcties!$A$1:$A$11,0),6),decimalen),"n.v.t.")</f>
        <v>9.0999999999999998E-2</v>
      </c>
      <c r="D174" s="66" t="str">
        <f t="shared" si="32"/>
        <v>Euro/kWh</v>
      </c>
      <c r="F174" s="67"/>
      <c r="G174" s="67"/>
      <c r="H174" s="67"/>
      <c r="I174" s="67"/>
      <c r="J174" s="67"/>
      <c r="K174" s="67"/>
      <c r="L174" s="67"/>
      <c r="M174" s="67"/>
      <c r="N174" s="67"/>
      <c r="O174" s="67"/>
      <c r="P174" s="67"/>
    </row>
    <row r="175" spans="2:44" s="10" customFormat="1" x14ac:dyDescent="0.25">
      <c r="B175" s="65" t="str">
        <f>"Voorlopig correctiebedrag "&amp;Colofon!$B$21&amp;""</f>
        <v xml:space="preserve">Voorlopig correctiebedrag </v>
      </c>
      <c r="C175" s="159" t="str">
        <f>IF(C15&gt;0,"netlevering: "&amp;C176&amp;", niet-netlevering: "&amp;C177,ROUND(VLOOKUP($C21,Correcties!$A$4:$J$74,6),decimalen))</f>
        <v>netlevering: 0.057, niet-netlevering: 0.093</v>
      </c>
      <c r="D175" s="57"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4">
        <f>ROUND(VLOOKUP(C15,Correcties!$A$4:$K$11,10,FALSE),decimalen)</f>
        <v>5.7000000000000002E-2</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344">
        <f>ROUND(VLOOKUP(C16,Correcties!$A$4:$K$11,10,FALSE),decimalen)</f>
        <v>9.2999999999999999E-2</v>
      </c>
      <c r="D177" s="57" t="s">
        <v>406</v>
      </c>
      <c r="F177" s="67"/>
      <c r="G177" s="67"/>
      <c r="H177" s="67"/>
      <c r="I177" s="67"/>
      <c r="J177" s="67"/>
      <c r="K177" s="67"/>
      <c r="L177" s="67"/>
      <c r="M177" s="67"/>
      <c r="N177" s="67"/>
      <c r="O177" s="67"/>
      <c r="P177" s="67"/>
    </row>
    <row r="178" spans="2:16" s="10" customFormat="1" x14ac:dyDescent="0.25">
      <c r="B178" s="95" t="str">
        <f>"Voorlopige GvO-waarde "&amp;Colofon!$C$29</f>
        <v>Voorlopige GvO-waarde 2025</v>
      </c>
      <c r="C178" s="342">
        <f>ROUND(VLOOKUP($C$15,Correcties!$A$4:$M$11,12,FALSE),decimalen)</f>
        <v>4.0000000000000001E-3</v>
      </c>
      <c r="D178" s="94" t="str">
        <f t="shared" ref="D178" si="33">CONCATENATE("Euro/",$C$7)</f>
        <v>Euro/kWh</v>
      </c>
      <c r="E178" s="67"/>
      <c r="F178" s="67"/>
      <c r="G178" s="67"/>
      <c r="H178" s="67"/>
      <c r="I178" s="67"/>
      <c r="J178" s="67"/>
      <c r="K178" s="67"/>
      <c r="L178" s="67"/>
      <c r="M178" s="67"/>
      <c r="N178" s="67"/>
      <c r="O178" s="67"/>
      <c r="P178" s="67"/>
    </row>
    <row r="179" spans="2:16" s="10" customFormat="1" x14ac:dyDescent="0.25">
      <c r="E179" s="67"/>
      <c r="F179" s="67"/>
      <c r="G179" s="67"/>
      <c r="H179" s="67"/>
      <c r="I179" s="67"/>
      <c r="J179" s="67"/>
      <c r="K179" s="67"/>
      <c r="L179" s="67"/>
      <c r="M179" s="67"/>
      <c r="N179" s="67"/>
      <c r="O179" s="67"/>
      <c r="P179" s="67"/>
    </row>
    <row r="180" spans="2:16" s="10" customFormat="1" x14ac:dyDescent="0.25">
      <c r="B180" s="102" t="s">
        <v>495</v>
      </c>
      <c r="C180" s="103" t="s">
        <v>79</v>
      </c>
      <c r="D180" s="128" t="s">
        <v>136</v>
      </c>
    </row>
    <row r="181" spans="2:16" s="10" customFormat="1" x14ac:dyDescent="0.25">
      <c r="B181" s="26" t="s">
        <v>496</v>
      </c>
      <c r="C181" s="69">
        <v>35.799999999999997</v>
      </c>
      <c r="D181" s="57" t="s">
        <v>497</v>
      </c>
    </row>
    <row r="182" spans="2:16" s="10" customFormat="1" x14ac:dyDescent="0.25">
      <c r="B182" s="26" t="s">
        <v>498</v>
      </c>
      <c r="C182" s="69">
        <v>31.65</v>
      </c>
      <c r="D182" s="57" t="s">
        <v>497</v>
      </c>
    </row>
    <row r="183" spans="2:16" s="10" customFormat="1" x14ac:dyDescent="0.25">
      <c r="B183" s="26" t="s">
        <v>499</v>
      </c>
      <c r="C183" s="69">
        <v>35.17</v>
      </c>
      <c r="D183" s="57" t="s">
        <v>497</v>
      </c>
    </row>
    <row r="184" spans="2:16" s="10" customFormat="1" x14ac:dyDescent="0.25">
      <c r="B184" s="27" t="s">
        <v>500</v>
      </c>
      <c r="C184" s="70">
        <v>3.6</v>
      </c>
      <c r="D184" s="66" t="s">
        <v>501</v>
      </c>
    </row>
    <row r="185" spans="2:16" s="10" customFormat="1" x14ac:dyDescent="0.25">
      <c r="E185" s="71"/>
    </row>
    <row r="186" spans="2:16" s="10" customFormat="1" x14ac:dyDescent="0.25"/>
    <row r="187" spans="2:16" x14ac:dyDescent="0.25">
      <c r="E187" s="10"/>
      <c r="F187" s="10"/>
      <c r="H187" s="10"/>
    </row>
    <row r="188" spans="2:16" x14ac:dyDescent="0.25">
      <c r="E188" s="10"/>
      <c r="F188" s="10"/>
      <c r="H188" s="10"/>
    </row>
    <row r="189" spans="2:16" x14ac:dyDescent="0.25">
      <c r="E189" s="10"/>
      <c r="F189" s="10"/>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9 G110:G114 G149:G160 G164:G168 G170">
    <cfRule type="containsText" dxfId="56" priority="3" operator="containsText" text="Pas op">
      <formula>NOT(ISERROR(SEARCH("Pas op",G19)))</formula>
    </cfRule>
  </conditionalFormatting>
  <conditionalFormatting sqref="G105">
    <cfRule type="containsText" dxfId="55" priority="1" operator="containsText" text="Pas op">
      <formula>NOT(ISERROR(SEARCH("Pas op",G105)))</formula>
    </cfRule>
  </conditionalFormatting>
  <conditionalFormatting sqref="G185:G1048576">
    <cfRule type="containsText" dxfId="54" priority="2" operator="containsText" text="Pas op">
      <formula>NOT(ISERROR(SEARCH("Pas op",G185)))</formula>
    </cfRule>
  </conditionalFormatting>
  <dataValidations count="3">
    <dataValidation type="list" allowBlank="1" showInputMessage="1" showErrorMessage="1" sqref="C14" xr:uid="{8F235A63-E876-465B-9100-322488C86FAB}">
      <formula1>"Nee,Ja,Geen warmte"</formula1>
    </dataValidation>
    <dataValidation type="list" allowBlank="1" showInputMessage="1" showErrorMessage="1" sqref="C7" xr:uid="{EC4FB34C-5CE5-4DF1-82E7-BD31675DD222}">
      <formula1>"t CO2,kWh"</formula1>
    </dataValidation>
    <dataValidation type="list" allowBlank="1" showInputMessage="1" showErrorMessage="1" sqref="C37362 C102898 C168434 C233970 C299506 C365042 C430578 C496114 C561650 C627186 C692722 C758258 C823794 C889330 C954866" xr:uid="{5A5A546E-E8B3-490A-908C-6CA4ED19585B}">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648A108F-7F57-419D-8E10-D0F7EC35B111}">
          <x14:formula1>
            <xm:f>Correcties!$A$27:$A$38</xm:f>
          </x14:formula1>
          <xm:sqref>C13</xm:sqref>
        </x14:dataValidation>
        <x14:dataValidation type="list" allowBlank="1" showInputMessage="1" showErrorMessage="1" xr:uid="{330327A6-585E-40AD-BD42-0FFEA5F0611A}">
          <x14:formula1>
            <xm:f>Colofon!$B$34:$B$39</xm:f>
          </x14:formula1>
          <xm:sqref>C9</xm:sqref>
        </x14:dataValidation>
        <x14:dataValidation type="list" allowBlank="1" showInputMessage="1" showErrorMessage="1" xr:uid="{62EDD8CD-E535-423A-861A-F62000E44339}">
          <x14:formula1>
            <xm:f>Correcties!$A$4:$A$10</xm:f>
          </x14:formula1>
          <xm:sqref>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CBCFA-F390-4896-A1A4-45D4A69DFA4C}">
  <sheetPr codeName="Sheet95">
    <tabColor theme="7" tint="0.79998168889431442"/>
    <pageSetUpPr fitToPage="1"/>
  </sheetPr>
  <dimension ref="A1:AR199"/>
  <sheetViews>
    <sheetView showGridLines="0" zoomScaleNormal="100" workbookViewId="0">
      <selection activeCell="E127" sqref="E127"/>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506</v>
      </c>
      <c r="C2" s="32"/>
      <c r="D2" s="32"/>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-0.77459999999999996</v>
      </c>
      <c r="D5" s="98" t="str">
        <f>CONCATENATE("Euro/",$C$7)</f>
        <v>Euro/kWh</v>
      </c>
      <c r="E5" s="447" t="s">
        <v>300</v>
      </c>
      <c r="F5" s="447"/>
      <c r="G5" s="447"/>
      <c r="H5" s="447"/>
      <c r="I5" s="447"/>
      <c r="J5" s="447"/>
      <c r="K5" s="447"/>
      <c r="L5" s="447"/>
      <c r="M5" s="448"/>
    </row>
    <row r="6" spans="1:44" ht="13" x14ac:dyDescent="0.3">
      <c r="B6" s="96" t="s">
        <v>301</v>
      </c>
      <c r="C6" s="135">
        <f>(ROUND(C5,4)-(ROUND(C173,4)+ROUND(C178,4)+ROUND(C172,4)))/ROUND(C70,4)*1000</f>
        <v>-13205.08744038156</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
        <v>308</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162"/>
      <c r="D12" s="105" t="str">
        <f>_xlfn.XLOOKUP(C12,Correcties!A4:A11,Correcties!B4:B11,"")</f>
        <v/>
      </c>
      <c r="E12" s="449">
        <f>IFERROR(INDEX(Correcties!$A$1:$I$301,MATCH('4'!C12,Correcties!$A$1:$A$301,0),5),"")</f>
        <v>0</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421">
        <v>6.3</v>
      </c>
      <c r="D15" s="99" t="str">
        <f>_xlfn.XLOOKUP(C15,Correcties!A4:A11,Correcties!B4:B11,"")</f>
        <v>Elektriciteit-ZonPV-netlevering (negatieve uren niet meegenomen)</v>
      </c>
      <c r="E15" s="447" t="str">
        <f>"Enkel relevant voor zon-pv. "&amp;_xlfn.XLOOKUP(C15,Correcties!A4:A11,Correcties!E4:E11,"")</f>
        <v>Enkel relevant voor zon-pv. EPEX2 x PIF_PV2</v>
      </c>
      <c r="F15" s="447"/>
      <c r="G15" s="447"/>
      <c r="H15" s="447"/>
      <c r="I15" s="447"/>
      <c r="J15" s="447"/>
      <c r="K15" s="447"/>
      <c r="L15" s="447"/>
      <c r="M15" s="448"/>
    </row>
    <row r="16" spans="1:44" x14ac:dyDescent="0.25">
      <c r="B16" s="96" t="s">
        <v>319</v>
      </c>
      <c r="C16" s="167">
        <v>8.3000000000000007</v>
      </c>
      <c r="D16" s="99" t="str">
        <f>_xlfn.XLOOKUP(C16,Correcties!A4:A11,Correcties!B4:B11,"")</f>
        <v>Elektricteit-ZonPV-niet-netlevering, groot (negatieve uren niet meegenomen)</v>
      </c>
      <c r="E16" s="447" t="str">
        <f>"Enkel relevant voor zon-pv. "&amp;_xlfn.XLOOKUP(C16,Correcties!A4:A11,Correcties!E4:E11,"")</f>
        <v>Enkel relevant voor zon-pv. EPEX2 x PIF_PV + EB3_e + ODE3_e</v>
      </c>
      <c r="F16" s="447"/>
      <c r="G16" s="447"/>
      <c r="H16" s="447"/>
      <c r="I16" s="447"/>
      <c r="J16" s="447"/>
      <c r="K16" s="447"/>
      <c r="L16" s="447"/>
      <c r="M16" s="448"/>
    </row>
    <row r="17" spans="2:13" x14ac:dyDescent="0.25">
      <c r="B17" s="96" t="s">
        <v>320</v>
      </c>
      <c r="C17" s="163"/>
      <c r="D17" s="99"/>
      <c r="E17" s="447" t="s">
        <v>321</v>
      </c>
      <c r="F17" s="447"/>
      <c r="G17" s="447"/>
      <c r="H17" s="447"/>
      <c r="I17" s="447"/>
      <c r="J17" s="447"/>
      <c r="K17" s="447"/>
      <c r="L17" s="447"/>
      <c r="M17" s="448"/>
    </row>
    <row r="18" spans="2:13" x14ac:dyDescent="0.25">
      <c r="B18" s="97" t="s">
        <v>322</v>
      </c>
      <c r="C18" s="164"/>
      <c r="D18" s="107"/>
      <c r="E18" s="451" t="s">
        <v>323</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IF(C23="JA",IF(C24&lt;&gt;"",C21*C180/C176/C24,0),0)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IF(C23="JA",IF(C26=0,,C26*C180/C177),0)</f>
        <v>0</v>
      </c>
      <c r="D27" s="99" t="s">
        <v>333</v>
      </c>
      <c r="E27" s="447"/>
      <c r="F27" s="447"/>
      <c r="G27" s="447"/>
      <c r="H27" s="447"/>
      <c r="I27" s="447"/>
      <c r="J27" s="447"/>
      <c r="K27" s="447"/>
      <c r="L27" s="447"/>
      <c r="M27" s="448"/>
    </row>
    <row r="28" spans="2:13" x14ac:dyDescent="0.25">
      <c r="B28" s="96" t="s">
        <v>337</v>
      </c>
      <c r="C28" s="167">
        <v>10000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740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v>449</v>
      </c>
      <c r="D39" s="99" t="str">
        <f>CONCATENATE("Euro/",$C$8)</f>
        <v>Euro/kW</v>
      </c>
      <c r="E39" s="447" t="s">
        <v>352</v>
      </c>
      <c r="F39" s="447"/>
      <c r="G39" s="447"/>
      <c r="H39" s="447"/>
      <c r="I39" s="447"/>
      <c r="J39" s="447"/>
      <c r="K39" s="447"/>
      <c r="L39" s="447"/>
      <c r="M39" s="448"/>
    </row>
    <row r="40" spans="2:13" x14ac:dyDescent="0.25">
      <c r="B40" s="109" t="s">
        <v>353</v>
      </c>
      <c r="C40" s="160"/>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4.5236749999999999</v>
      </c>
      <c r="D41" s="99" t="s">
        <v>355</v>
      </c>
      <c r="E41" s="453"/>
      <c r="F41" s="447"/>
      <c r="G41" s="447"/>
      <c r="H41" s="447"/>
      <c r="I41" s="447"/>
      <c r="J41" s="447"/>
      <c r="K41" s="447"/>
      <c r="L41" s="447"/>
      <c r="M41" s="448"/>
    </row>
    <row r="42" spans="2:13" x14ac:dyDescent="0.25">
      <c r="B42" s="109" t="s">
        <v>356</v>
      </c>
      <c r="C42" s="165">
        <v>15.7</v>
      </c>
      <c r="D42" s="99" t="str">
        <f>CONCATENATE("Euro/",$C$8,"/jaar")</f>
        <v>Euro/kW/jaar</v>
      </c>
      <c r="E42" s="447" t="s">
        <v>357</v>
      </c>
      <c r="F42" s="447"/>
      <c r="G42" s="447"/>
      <c r="H42" s="447"/>
      <c r="I42" s="447"/>
      <c r="J42" s="447"/>
      <c r="K42" s="447"/>
      <c r="L42" s="447"/>
      <c r="M42" s="448"/>
    </row>
    <row r="43" spans="2:13" x14ac:dyDescent="0.25">
      <c r="B43" s="109" t="s">
        <v>358</v>
      </c>
      <c r="C43" s="165"/>
      <c r="D43" s="99" t="str">
        <f>CONCATENATE("Euro/",$C$8,"/jaar")</f>
        <v>Euro/kW/jaar</v>
      </c>
      <c r="E43" s="447" t="s">
        <v>357</v>
      </c>
      <c r="F43" s="447"/>
      <c r="G43" s="447"/>
      <c r="H43" s="447"/>
      <c r="I43" s="447"/>
      <c r="J43" s="447"/>
      <c r="K43" s="447"/>
      <c r="L43" s="447"/>
      <c r="M43" s="448"/>
    </row>
    <row r="44" spans="2:13" x14ac:dyDescent="0.25">
      <c r="B44" s="96" t="s">
        <v>359</v>
      </c>
      <c r="C44" s="141">
        <f>(C42*C21+C43*SUM(C26,C28))/1000</f>
        <v>157</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2.8999999999999998E-3</v>
      </c>
      <c r="D48" s="99" t="str">
        <f>CONCATENATE("Euro/",$C$7)</f>
        <v>Euro/kWh</v>
      </c>
      <c r="E48" s="447"/>
      <c r="F48" s="447"/>
      <c r="G48" s="447"/>
      <c r="H48" s="447"/>
      <c r="I48" s="447"/>
      <c r="J48" s="447"/>
      <c r="K48" s="447"/>
      <c r="L48" s="447"/>
      <c r="M48" s="448"/>
    </row>
    <row r="49" spans="2:13" x14ac:dyDescent="0.25">
      <c r="B49" s="97" t="s">
        <v>366</v>
      </c>
      <c r="C49" s="142">
        <f>SUM(C45:C48)</f>
        <v>2.8999999999999998E-3</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IF(C52=0,,C21*MAX(C29,C30)*C180/C52/1000)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4.8000000000000001E-2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6.2899999999999998E-2</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5.45E-2</v>
      </c>
      <c r="D80" s="99" t="s">
        <v>406</v>
      </c>
      <c r="E80" s="447" t="s">
        <v>407</v>
      </c>
      <c r="F80" s="447"/>
      <c r="G80" s="447"/>
      <c r="H80" s="447"/>
      <c r="I80" s="447"/>
      <c r="J80" s="447"/>
      <c r="K80" s="447"/>
      <c r="L80" s="447"/>
      <c r="M80" s="448"/>
    </row>
    <row r="81" spans="2:13" x14ac:dyDescent="0.25">
      <c r="B81" s="96" t="s">
        <v>408</v>
      </c>
      <c r="C81" s="171">
        <v>690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111000000</v>
      </c>
      <c r="D84" s="98" t="str">
        <f>C7</f>
        <v>kWh</v>
      </c>
      <c r="E84" s="447"/>
      <c r="F84" s="447"/>
      <c r="G84" s="447"/>
      <c r="H84" s="447"/>
      <c r="I84" s="447"/>
      <c r="J84" s="447"/>
      <c r="K84" s="447"/>
      <c r="L84" s="447"/>
      <c r="M84" s="448"/>
    </row>
    <row r="85" spans="2:13" x14ac:dyDescent="0.25">
      <c r="B85" s="113" t="s">
        <v>413</v>
      </c>
      <c r="C85" s="145">
        <f>IF(C77=0,SUM(E118:INDEX(E118:AR118,1,C73)),SUM(E118:INDEX(E118:AR118,1,C77)))</f>
        <v>145500000</v>
      </c>
      <c r="D85" s="98" t="str">
        <f>C7</f>
        <v>kWh</v>
      </c>
      <c r="E85" s="447"/>
      <c r="F85" s="447"/>
      <c r="G85" s="447"/>
      <c r="H85" s="447"/>
      <c r="I85" s="447"/>
      <c r="J85" s="447"/>
      <c r="K85" s="447"/>
      <c r="L85" s="447"/>
      <c r="M85" s="448"/>
    </row>
    <row r="86" spans="2:13" x14ac:dyDescent="0.25">
      <c r="B86" s="114" t="s">
        <v>414</v>
      </c>
      <c r="C86" s="146">
        <f>C85/C84</f>
        <v>1.3108108108108107</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0.04</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0.75</v>
      </c>
      <c r="D92" s="99"/>
      <c r="E92" s="447"/>
      <c r="F92" s="447"/>
      <c r="G92" s="447"/>
      <c r="H92" s="447"/>
      <c r="I92" s="447"/>
      <c r="J92" s="447"/>
      <c r="K92" s="447"/>
      <c r="L92" s="447"/>
      <c r="M92" s="448"/>
    </row>
    <row r="93" spans="2:13" x14ac:dyDescent="0.25">
      <c r="B93" s="96" t="s">
        <v>420</v>
      </c>
      <c r="C93" s="46">
        <v>0.25</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t="s">
        <v>79</v>
      </c>
      <c r="D100" s="103"/>
      <c r="E100" s="445" t="s">
        <v>63</v>
      </c>
      <c r="F100" s="445"/>
      <c r="G100" s="445"/>
      <c r="H100" s="445"/>
      <c r="I100" s="445"/>
      <c r="J100" s="445"/>
      <c r="K100" s="445"/>
      <c r="L100" s="445"/>
      <c r="M100" s="446"/>
    </row>
    <row r="101" spans="1:44" x14ac:dyDescent="0.25">
      <c r="B101" s="108" t="s">
        <v>79</v>
      </c>
      <c r="C101" s="173">
        <v>13</v>
      </c>
      <c r="D101" s="174">
        <v>-130000</v>
      </c>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v>0.8</v>
      </c>
      <c r="F107" s="389">
        <f>IF(F$112&lt;=$C76,$E$107,)</f>
        <v>0.8</v>
      </c>
      <c r="G107" s="389">
        <f t="shared" ref="G107:AR107" si="1">IF(G$112&lt;=$C76,$E$107,)</f>
        <v>0.8</v>
      </c>
      <c r="H107" s="389">
        <f t="shared" si="1"/>
        <v>0.8</v>
      </c>
      <c r="I107" s="389">
        <f t="shared" si="1"/>
        <v>0.8</v>
      </c>
      <c r="J107" s="389">
        <f t="shared" si="1"/>
        <v>0.8</v>
      </c>
      <c r="K107" s="389">
        <f t="shared" si="1"/>
        <v>0.8</v>
      </c>
      <c r="L107" s="389">
        <f t="shared" si="1"/>
        <v>0.8</v>
      </c>
      <c r="M107" s="389">
        <f t="shared" si="1"/>
        <v>0.8</v>
      </c>
      <c r="N107" s="389">
        <f t="shared" si="1"/>
        <v>0.8</v>
      </c>
      <c r="O107" s="389">
        <f t="shared" si="1"/>
        <v>0.8</v>
      </c>
      <c r="P107" s="389">
        <f t="shared" si="1"/>
        <v>0.8</v>
      </c>
      <c r="Q107" s="389">
        <f t="shared" si="1"/>
        <v>0.8</v>
      </c>
      <c r="R107" s="389">
        <f t="shared" si="1"/>
        <v>0.8</v>
      </c>
      <c r="S107" s="389">
        <f t="shared" si="1"/>
        <v>0.8</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v>0.3</v>
      </c>
      <c r="F108" s="389">
        <f>IF(F$112&lt;=$C73,$E$108*F109,)</f>
        <v>0.30599999999999999</v>
      </c>
      <c r="G108" s="389">
        <f t="shared" ref="G108:AR108" si="2">IF(G$112&lt;=$C73,$E$108*G109,)</f>
        <v>0.31212000000000001</v>
      </c>
      <c r="H108" s="389">
        <f t="shared" si="2"/>
        <v>0.31836239999999999</v>
      </c>
      <c r="I108" s="389">
        <f t="shared" si="2"/>
        <v>0.32472964799999998</v>
      </c>
      <c r="J108" s="389">
        <f t="shared" si="2"/>
        <v>0.33122424095999997</v>
      </c>
      <c r="K108" s="389">
        <f t="shared" si="2"/>
        <v>0.3378487257792</v>
      </c>
      <c r="L108" s="389">
        <f t="shared" si="2"/>
        <v>0.34460570029478393</v>
      </c>
      <c r="M108" s="389">
        <f t="shared" si="2"/>
        <v>0.35149781430067967</v>
      </c>
      <c r="N108" s="389">
        <f t="shared" si="2"/>
        <v>0.35852777058669322</v>
      </c>
      <c r="O108" s="389">
        <f t="shared" si="2"/>
        <v>0.36569832599842711</v>
      </c>
      <c r="P108" s="389">
        <f t="shared" si="2"/>
        <v>0.37301229251839557</v>
      </c>
      <c r="Q108" s="389">
        <f t="shared" si="2"/>
        <v>0.38047253836876355</v>
      </c>
      <c r="R108" s="389">
        <f t="shared" si="2"/>
        <v>0.38808198913613884</v>
      </c>
      <c r="S108" s="389">
        <f t="shared" si="2"/>
        <v>0.39584362891886166</v>
      </c>
      <c r="T108" s="389">
        <f t="shared" si="2"/>
        <v>0.40376050149723874</v>
      </c>
      <c r="U108" s="389">
        <f t="shared" si="2"/>
        <v>0.41183571152718362</v>
      </c>
      <c r="V108" s="389">
        <f t="shared" si="2"/>
        <v>0.4200724257577273</v>
      </c>
      <c r="W108" s="389">
        <f t="shared" si="2"/>
        <v>0.42847387427288181</v>
      </c>
      <c r="X108" s="389">
        <f t="shared" si="2"/>
        <v>0.43704335175833942</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-4523675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7400000</v>
      </c>
      <c r="F115" s="379">
        <f t="shared" si="4"/>
        <v>7400000</v>
      </c>
      <c r="G115" s="379">
        <f t="shared" si="4"/>
        <v>7400000</v>
      </c>
      <c r="H115" s="379">
        <f t="shared" si="4"/>
        <v>7400000</v>
      </c>
      <c r="I115" s="379">
        <f t="shared" si="4"/>
        <v>7400000</v>
      </c>
      <c r="J115" s="379">
        <f t="shared" si="4"/>
        <v>7400000</v>
      </c>
      <c r="K115" s="379">
        <f t="shared" si="4"/>
        <v>7400000</v>
      </c>
      <c r="L115" s="379">
        <f t="shared" si="4"/>
        <v>7400000</v>
      </c>
      <c r="M115" s="379">
        <f t="shared" si="4"/>
        <v>7400000</v>
      </c>
      <c r="N115" s="379">
        <f t="shared" si="4"/>
        <v>7400000</v>
      </c>
      <c r="O115" s="379">
        <f t="shared" si="4"/>
        <v>7400000</v>
      </c>
      <c r="P115" s="379">
        <f t="shared" si="4"/>
        <v>7400000</v>
      </c>
      <c r="Q115" s="379">
        <f t="shared" si="4"/>
        <v>7400000</v>
      </c>
      <c r="R115" s="379">
        <f t="shared" si="4"/>
        <v>7400000</v>
      </c>
      <c r="S115" s="379">
        <f t="shared" si="4"/>
        <v>7400000</v>
      </c>
      <c r="T115" s="379">
        <f t="shared" si="4"/>
        <v>6900000</v>
      </c>
      <c r="U115" s="379">
        <f t="shared" si="4"/>
        <v>6900000</v>
      </c>
      <c r="V115" s="379">
        <f t="shared" si="4"/>
        <v>6900000</v>
      </c>
      <c r="W115" s="379">
        <f t="shared" si="4"/>
        <v>6900000</v>
      </c>
      <c r="X115" s="379">
        <f t="shared" si="4"/>
        <v>6900000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IF(OR(E112&gt;$C$73,$C$23&lt;&gt;"JA"),0,$C$26*$C$29*$C$183/$C$182)</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7400000</v>
      </c>
      <c r="F118" s="150">
        <f t="shared" ref="F118:AR118" si="7">SUM(F115:F117)</f>
        <v>7400000</v>
      </c>
      <c r="G118" s="150">
        <f t="shared" si="7"/>
        <v>7400000</v>
      </c>
      <c r="H118" s="150">
        <f t="shared" si="7"/>
        <v>7400000</v>
      </c>
      <c r="I118" s="150">
        <f t="shared" si="7"/>
        <v>7400000</v>
      </c>
      <c r="J118" s="150">
        <f t="shared" si="7"/>
        <v>7400000</v>
      </c>
      <c r="K118" s="150">
        <f t="shared" si="7"/>
        <v>7400000</v>
      </c>
      <c r="L118" s="150">
        <f t="shared" si="7"/>
        <v>7400000</v>
      </c>
      <c r="M118" s="150">
        <f t="shared" si="7"/>
        <v>7400000</v>
      </c>
      <c r="N118" s="150">
        <f t="shared" si="7"/>
        <v>7400000</v>
      </c>
      <c r="O118" s="150">
        <f t="shared" si="7"/>
        <v>7400000</v>
      </c>
      <c r="P118" s="150">
        <f t="shared" si="7"/>
        <v>7400000</v>
      </c>
      <c r="Q118" s="150">
        <f t="shared" si="7"/>
        <v>7400000</v>
      </c>
      <c r="R118" s="150">
        <f t="shared" si="7"/>
        <v>7400000</v>
      </c>
      <c r="S118" s="150">
        <f t="shared" si="7"/>
        <v>7400000</v>
      </c>
      <c r="T118" s="150">
        <f t="shared" si="7"/>
        <v>6900000</v>
      </c>
      <c r="U118" s="150">
        <f t="shared" si="7"/>
        <v>6900000</v>
      </c>
      <c r="V118" s="150">
        <f t="shared" si="7"/>
        <v>6900000</v>
      </c>
      <c r="W118" s="150">
        <f t="shared" si="7"/>
        <v>6900000</v>
      </c>
      <c r="X118" s="150">
        <f t="shared" si="7"/>
        <v>6900000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-178460</v>
      </c>
      <c r="F120" s="379">
        <f t="shared" ref="F120:AR120" si="8">IF(F112&gt;$C$73,0,-F109*(($C$42*$C$21+$C$43*SUM($C$26,$C$28))+F118*$C$49))+IF($C$101=F112,$D$101*F109,0)+IF($C$102=F112,$D$102*F109,0)+IF($C$103=F112,$D$103*F109,0)</f>
        <v>-182029.2</v>
      </c>
      <c r="G120" s="379">
        <f t="shared" si="8"/>
        <v>-185669.78399999999</v>
      </c>
      <c r="H120" s="379">
        <f t="shared" si="8"/>
        <v>-189383.17968</v>
      </c>
      <c r="I120" s="379">
        <f t="shared" si="8"/>
        <v>-193170.84327359998</v>
      </c>
      <c r="J120" s="379">
        <f t="shared" si="8"/>
        <v>-197034.26013907199</v>
      </c>
      <c r="K120" s="379">
        <f t="shared" si="8"/>
        <v>-200974.94534185345</v>
      </c>
      <c r="L120" s="379">
        <f t="shared" si="8"/>
        <v>-204994.44424869047</v>
      </c>
      <c r="M120" s="379">
        <f t="shared" si="8"/>
        <v>-209094.3331336643</v>
      </c>
      <c r="N120" s="379">
        <f t="shared" si="8"/>
        <v>-213276.21979633759</v>
      </c>
      <c r="O120" s="379">
        <f t="shared" si="8"/>
        <v>-217541.74419226436</v>
      </c>
      <c r="P120" s="379">
        <f t="shared" si="8"/>
        <v>-221892.5790761096</v>
      </c>
      <c r="Q120" s="379">
        <f t="shared" si="8"/>
        <v>-391201.86395076272</v>
      </c>
      <c r="R120" s="379">
        <f t="shared" si="8"/>
        <v>-230857.03927078444</v>
      </c>
      <c r="S120" s="379">
        <f t="shared" si="8"/>
        <v>-235474.18005620016</v>
      </c>
      <c r="T120" s="379">
        <f t="shared" si="8"/>
        <v>-238232.15456675412</v>
      </c>
      <c r="U120" s="379">
        <f t="shared" si="8"/>
        <v>-242996.79765808923</v>
      </c>
      <c r="V120" s="379">
        <f t="shared" si="8"/>
        <v>-247856.73361125105</v>
      </c>
      <c r="W120" s="379">
        <f t="shared" si="8"/>
        <v>-252813.86828347604</v>
      </c>
      <c r="X120" s="379">
        <f t="shared" si="8"/>
        <v>-257870.14564914553</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-E109*$C$54/$C$52*$C$21*MAX($C$29,$C$30)*$C$184/1000)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7.3349824438665043E-2</v>
      </c>
      <c r="U122" s="382">
        <f t="shared" si="10"/>
        <v>7.4816820927438354E-2</v>
      </c>
      <c r="V122" s="382">
        <f t="shared" si="10"/>
        <v>7.6313157345987134E-2</v>
      </c>
      <c r="W122" s="382">
        <f t="shared" si="10"/>
        <v>7.7839420492906861E-2</v>
      </c>
      <c r="X122" s="382">
        <f t="shared" si="10"/>
        <v>7.9396208902764998E-2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0.3</v>
      </c>
      <c r="F124" s="382">
        <f t="shared" si="12"/>
        <v>0.30599999999999999</v>
      </c>
      <c r="G124" s="382">
        <f t="shared" si="12"/>
        <v>0.31212000000000001</v>
      </c>
      <c r="H124" s="382">
        <f t="shared" si="12"/>
        <v>0.31836239999999999</v>
      </c>
      <c r="I124" s="382">
        <f t="shared" si="12"/>
        <v>0.32472964799999998</v>
      </c>
      <c r="J124" s="382">
        <f t="shared" si="12"/>
        <v>0.33122424095999997</v>
      </c>
      <c r="K124" s="382">
        <f t="shared" si="12"/>
        <v>0.3378487257792</v>
      </c>
      <c r="L124" s="382">
        <f t="shared" si="12"/>
        <v>0.34460570029478393</v>
      </c>
      <c r="M124" s="382">
        <f t="shared" si="12"/>
        <v>0.35149781430067967</v>
      </c>
      <c r="N124" s="382">
        <f t="shared" si="12"/>
        <v>0.35852777058669322</v>
      </c>
      <c r="O124" s="382">
        <f t="shared" si="12"/>
        <v>0.36569832599842711</v>
      </c>
      <c r="P124" s="382">
        <f t="shared" si="12"/>
        <v>0.37301229251839557</v>
      </c>
      <c r="Q124" s="382">
        <f t="shared" si="12"/>
        <v>0.38047253836876355</v>
      </c>
      <c r="R124" s="382">
        <f t="shared" si="12"/>
        <v>0.38808198913613884</v>
      </c>
      <c r="S124" s="382">
        <f t="shared" si="12"/>
        <v>0.39584362891886166</v>
      </c>
      <c r="T124" s="382">
        <f t="shared" si="12"/>
        <v>0.40376050149723874</v>
      </c>
      <c r="U124" s="382">
        <f t="shared" si="12"/>
        <v>0.41183571152718362</v>
      </c>
      <c r="V124" s="382">
        <f t="shared" si="12"/>
        <v>0.4200724257577273</v>
      </c>
      <c r="W124" s="382">
        <f t="shared" si="12"/>
        <v>0.42847387427288181</v>
      </c>
      <c r="X124" s="382">
        <f t="shared" si="12"/>
        <v>0.43704335175833942</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0.8</v>
      </c>
      <c r="F125" s="382">
        <f t="shared" si="13"/>
        <v>0.8</v>
      </c>
      <c r="G125" s="382">
        <f t="shared" si="13"/>
        <v>0.8</v>
      </c>
      <c r="H125" s="382">
        <f t="shared" si="13"/>
        <v>0.8</v>
      </c>
      <c r="I125" s="382">
        <f t="shared" si="13"/>
        <v>0.8</v>
      </c>
      <c r="J125" s="382">
        <f t="shared" si="13"/>
        <v>0.8</v>
      </c>
      <c r="K125" s="382">
        <f t="shared" si="13"/>
        <v>0.8</v>
      </c>
      <c r="L125" s="382">
        <f t="shared" si="13"/>
        <v>0.8</v>
      </c>
      <c r="M125" s="382">
        <f t="shared" si="13"/>
        <v>0.8</v>
      </c>
      <c r="N125" s="382">
        <f t="shared" si="13"/>
        <v>0.8</v>
      </c>
      <c r="O125" s="382">
        <f t="shared" si="13"/>
        <v>0.8</v>
      </c>
      <c r="P125" s="382">
        <f t="shared" si="13"/>
        <v>0.8</v>
      </c>
      <c r="Q125" s="382">
        <f t="shared" si="13"/>
        <v>0.8</v>
      </c>
      <c r="R125" s="382">
        <f t="shared" si="13"/>
        <v>0.8</v>
      </c>
      <c r="S125" s="382">
        <f t="shared" si="13"/>
        <v>0.8</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3700000</v>
      </c>
      <c r="F126" s="379">
        <f t="shared" ref="F126:AR126" si="14">MAX(0,F125-F124)*F118</f>
        <v>3655600.0000000005</v>
      </c>
      <c r="G126" s="379">
        <f t="shared" si="14"/>
        <v>3610312.0000000005</v>
      </c>
      <c r="H126" s="379">
        <f t="shared" si="14"/>
        <v>3564118.24</v>
      </c>
      <c r="I126" s="379">
        <f t="shared" si="14"/>
        <v>3517000.6048000003</v>
      </c>
      <c r="J126" s="379">
        <f t="shared" si="14"/>
        <v>3468940.6168960007</v>
      </c>
      <c r="K126" s="379">
        <f t="shared" si="14"/>
        <v>3419919.4292339203</v>
      </c>
      <c r="L126" s="379">
        <f t="shared" si="14"/>
        <v>3369917.8178185993</v>
      </c>
      <c r="M126" s="379">
        <f t="shared" si="14"/>
        <v>3318916.1741749709</v>
      </c>
      <c r="N126" s="379">
        <f t="shared" si="14"/>
        <v>3266894.4976584706</v>
      </c>
      <c r="O126" s="379">
        <f t="shared" si="14"/>
        <v>3213832.3876116397</v>
      </c>
      <c r="P126" s="379">
        <f t="shared" si="14"/>
        <v>3159709.035363873</v>
      </c>
      <c r="Q126" s="379">
        <f t="shared" si="14"/>
        <v>3104503.2160711503</v>
      </c>
      <c r="R126" s="379">
        <f t="shared" si="14"/>
        <v>3048193.2803925727</v>
      </c>
      <c r="S126" s="379">
        <f t="shared" si="14"/>
        <v>2990757.1460004239</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0</v>
      </c>
      <c r="U127" s="379">
        <f t="shared" si="15"/>
        <v>0</v>
      </c>
      <c r="V127" s="379">
        <f t="shared" si="15"/>
        <v>0</v>
      </c>
      <c r="W127" s="379">
        <f t="shared" si="15"/>
        <v>0</v>
      </c>
      <c r="X127" s="379">
        <f t="shared" si="15"/>
        <v>0</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2220000</v>
      </c>
      <c r="F128" s="379">
        <f t="shared" ref="F128:AR128" si="16">F124*F118</f>
        <v>2264400</v>
      </c>
      <c r="G128" s="379">
        <f t="shared" si="16"/>
        <v>2309688</v>
      </c>
      <c r="H128" s="379">
        <f t="shared" si="16"/>
        <v>2355881.7599999998</v>
      </c>
      <c r="I128" s="379">
        <f t="shared" si="16"/>
        <v>2402999.3951999997</v>
      </c>
      <c r="J128" s="379">
        <f t="shared" si="16"/>
        <v>2451059.3831039998</v>
      </c>
      <c r="K128" s="379">
        <f t="shared" si="16"/>
        <v>2500080.5707660802</v>
      </c>
      <c r="L128" s="379">
        <f t="shared" si="16"/>
        <v>2550082.1821814012</v>
      </c>
      <c r="M128" s="379">
        <f t="shared" si="16"/>
        <v>2601083.8258250295</v>
      </c>
      <c r="N128" s="379">
        <f t="shared" si="16"/>
        <v>2653105.5023415298</v>
      </c>
      <c r="O128" s="379">
        <f t="shared" si="16"/>
        <v>2706167.6123883608</v>
      </c>
      <c r="P128" s="379">
        <f t="shared" si="16"/>
        <v>2760290.964636127</v>
      </c>
      <c r="Q128" s="379">
        <f t="shared" si="16"/>
        <v>2815496.7839288502</v>
      </c>
      <c r="R128" s="379">
        <f t="shared" si="16"/>
        <v>2871806.7196074273</v>
      </c>
      <c r="S128" s="379">
        <f t="shared" si="16"/>
        <v>2929242.8539995761</v>
      </c>
      <c r="T128" s="379">
        <f t="shared" si="16"/>
        <v>2785947.4603309473</v>
      </c>
      <c r="U128" s="379">
        <f t="shared" si="16"/>
        <v>2841666.4095375668</v>
      </c>
      <c r="V128" s="379">
        <f t="shared" si="16"/>
        <v>2898499.7377283182</v>
      </c>
      <c r="W128" s="379">
        <f t="shared" si="16"/>
        <v>2956469.7324828845</v>
      </c>
      <c r="X128" s="379">
        <f t="shared" si="16"/>
        <v>3015599.127132542</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5920000</v>
      </c>
      <c r="F130" s="379">
        <f t="shared" ref="F130:AR130" si="17">SUM(F126:F128)</f>
        <v>5920000</v>
      </c>
      <c r="G130" s="379">
        <f t="shared" si="17"/>
        <v>5920000</v>
      </c>
      <c r="H130" s="379">
        <f t="shared" si="17"/>
        <v>5920000</v>
      </c>
      <c r="I130" s="379">
        <f t="shared" si="17"/>
        <v>5920000</v>
      </c>
      <c r="J130" s="379">
        <f t="shared" si="17"/>
        <v>5920000</v>
      </c>
      <c r="K130" s="379">
        <f t="shared" si="17"/>
        <v>5920000</v>
      </c>
      <c r="L130" s="379">
        <f t="shared" si="17"/>
        <v>5920000</v>
      </c>
      <c r="M130" s="379">
        <f t="shared" si="17"/>
        <v>5920000</v>
      </c>
      <c r="N130" s="379">
        <f t="shared" si="17"/>
        <v>5920000</v>
      </c>
      <c r="O130" s="379">
        <f t="shared" si="17"/>
        <v>5920000</v>
      </c>
      <c r="P130" s="379">
        <f t="shared" si="17"/>
        <v>5920000</v>
      </c>
      <c r="Q130" s="379">
        <f t="shared" si="17"/>
        <v>5920000</v>
      </c>
      <c r="R130" s="379">
        <f t="shared" si="17"/>
        <v>5920000</v>
      </c>
      <c r="S130" s="379">
        <f t="shared" si="17"/>
        <v>5920000</v>
      </c>
      <c r="T130" s="379">
        <f t="shared" si="17"/>
        <v>2785947.4603309473</v>
      </c>
      <c r="U130" s="379">
        <f t="shared" si="17"/>
        <v>2841666.4095375668</v>
      </c>
      <c r="V130" s="379">
        <f t="shared" si="17"/>
        <v>2898499.7377283182</v>
      </c>
      <c r="W130" s="379">
        <f t="shared" si="17"/>
        <v>2956469.7324828845</v>
      </c>
      <c r="X130" s="379">
        <f t="shared" si="17"/>
        <v>3015599.127132542</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-178460</v>
      </c>
      <c r="F131" s="379">
        <f t="shared" si="18"/>
        <v>-182029.2</v>
      </c>
      <c r="G131" s="379">
        <f t="shared" si="18"/>
        <v>-185669.78399999999</v>
      </c>
      <c r="H131" s="379">
        <f t="shared" si="18"/>
        <v>-189383.17968</v>
      </c>
      <c r="I131" s="379">
        <f t="shared" si="18"/>
        <v>-193170.84327359998</v>
      </c>
      <c r="J131" s="379">
        <f t="shared" si="18"/>
        <v>-197034.26013907199</v>
      </c>
      <c r="K131" s="379">
        <f t="shared" si="18"/>
        <v>-200974.94534185345</v>
      </c>
      <c r="L131" s="379">
        <f t="shared" si="18"/>
        <v>-204994.44424869047</v>
      </c>
      <c r="M131" s="379">
        <f t="shared" si="18"/>
        <v>-209094.3331336643</v>
      </c>
      <c r="N131" s="379">
        <f t="shared" si="18"/>
        <v>-213276.21979633759</v>
      </c>
      <c r="O131" s="379">
        <f t="shared" si="18"/>
        <v>-217541.74419226436</v>
      </c>
      <c r="P131" s="379">
        <f t="shared" si="18"/>
        <v>-221892.5790761096</v>
      </c>
      <c r="Q131" s="379">
        <f t="shared" si="18"/>
        <v>-391201.86395076272</v>
      </c>
      <c r="R131" s="379">
        <f t="shared" si="18"/>
        <v>-230857.03927078444</v>
      </c>
      <c r="S131" s="379">
        <f t="shared" si="18"/>
        <v>-235474.18005620016</v>
      </c>
      <c r="T131" s="379">
        <f t="shared" si="18"/>
        <v>-238232.15456675412</v>
      </c>
      <c r="U131" s="379">
        <f t="shared" si="18"/>
        <v>-242996.79765808923</v>
      </c>
      <c r="V131" s="379">
        <f t="shared" si="18"/>
        <v>-247856.73361125105</v>
      </c>
      <c r="W131" s="379">
        <f t="shared" si="18"/>
        <v>-252813.86828347604</v>
      </c>
      <c r="X131" s="379">
        <f t="shared" si="18"/>
        <v>-257870.14564914553</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5741540</v>
      </c>
      <c r="F132" s="386">
        <f t="shared" ref="F132:AR132" si="19">SUM(F130:F131)</f>
        <v>5737970.7999999998</v>
      </c>
      <c r="G132" s="386">
        <f t="shared" si="19"/>
        <v>5734330.216</v>
      </c>
      <c r="H132" s="386">
        <f t="shared" si="19"/>
        <v>5730616.8203199999</v>
      </c>
      <c r="I132" s="386">
        <f t="shared" si="19"/>
        <v>5726829.1567264004</v>
      </c>
      <c r="J132" s="386">
        <f t="shared" si="19"/>
        <v>5722965.7398609277</v>
      </c>
      <c r="K132" s="386">
        <f t="shared" si="19"/>
        <v>5719025.0546581466</v>
      </c>
      <c r="L132" s="386">
        <f t="shared" si="19"/>
        <v>5715005.5557513097</v>
      </c>
      <c r="M132" s="386">
        <f t="shared" si="19"/>
        <v>5710905.666866336</v>
      </c>
      <c r="N132" s="386">
        <f t="shared" si="19"/>
        <v>5706723.7802036628</v>
      </c>
      <c r="O132" s="386">
        <f t="shared" si="19"/>
        <v>5702458.255807736</v>
      </c>
      <c r="P132" s="386">
        <f t="shared" si="19"/>
        <v>5698107.4209238905</v>
      </c>
      <c r="Q132" s="386">
        <f t="shared" si="19"/>
        <v>5528798.1360492371</v>
      </c>
      <c r="R132" s="386">
        <f t="shared" si="19"/>
        <v>5689142.9607292153</v>
      </c>
      <c r="S132" s="386">
        <f t="shared" si="19"/>
        <v>5684525.8199437996</v>
      </c>
      <c r="T132" s="386">
        <f t="shared" si="19"/>
        <v>2547715.3057641932</v>
      </c>
      <c r="U132" s="386">
        <f t="shared" si="19"/>
        <v>2598669.6118794777</v>
      </c>
      <c r="V132" s="386">
        <f t="shared" si="19"/>
        <v>2650643.004117067</v>
      </c>
      <c r="W132" s="386">
        <f t="shared" si="19"/>
        <v>2703655.8641994083</v>
      </c>
      <c r="X132" s="386">
        <f t="shared" si="19"/>
        <v>2757728.9814833966</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-301578.33333333331</v>
      </c>
      <c r="F134" s="379">
        <f t="shared" si="20"/>
        <v>-301578.33333333331</v>
      </c>
      <c r="G134" s="379">
        <f t="shared" si="20"/>
        <v>-301578.33333333331</v>
      </c>
      <c r="H134" s="379">
        <f t="shared" si="20"/>
        <v>-301578.33333333331</v>
      </c>
      <c r="I134" s="379">
        <f t="shared" si="20"/>
        <v>-301578.33333333331</v>
      </c>
      <c r="J134" s="379">
        <f t="shared" si="20"/>
        <v>-301578.33333333331</v>
      </c>
      <c r="K134" s="379">
        <f t="shared" si="20"/>
        <v>-301578.33333333331</v>
      </c>
      <c r="L134" s="379">
        <f t="shared" si="20"/>
        <v>-301578.33333333331</v>
      </c>
      <c r="M134" s="379">
        <f t="shared" si="20"/>
        <v>-301578.33333333331</v>
      </c>
      <c r="N134" s="379">
        <f t="shared" si="20"/>
        <v>-301578.33333333331</v>
      </c>
      <c r="O134" s="379">
        <f t="shared" si="20"/>
        <v>-301578.33333333331</v>
      </c>
      <c r="P134" s="379">
        <f t="shared" si="20"/>
        <v>-301578.33333333331</v>
      </c>
      <c r="Q134" s="379">
        <f t="shared" si="20"/>
        <v>-301578.33333333331</v>
      </c>
      <c r="R134" s="379">
        <f t="shared" si="20"/>
        <v>-301578.33333333331</v>
      </c>
      <c r="S134" s="379">
        <f t="shared" si="20"/>
        <v>-301578.33333333331</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-135710.25</v>
      </c>
      <c r="F135" s="379">
        <f t="shared" si="21"/>
        <v>-128932.73078338012</v>
      </c>
      <c r="G135" s="379">
        <f t="shared" si="21"/>
        <v>-121884.11079809548</v>
      </c>
      <c r="H135" s="379">
        <f t="shared" si="21"/>
        <v>-114553.54601339942</v>
      </c>
      <c r="I135" s="379">
        <f t="shared" si="21"/>
        <v>-106929.75863731554</v>
      </c>
      <c r="J135" s="379">
        <f t="shared" si="21"/>
        <v>-99001.019766188285</v>
      </c>
      <c r="K135" s="379">
        <f t="shared" si="21"/>
        <v>-90755.131340215958</v>
      </c>
      <c r="L135" s="379">
        <f t="shared" si="21"/>
        <v>-82179.407377204727</v>
      </c>
      <c r="M135" s="379">
        <f t="shared" si="21"/>
        <v>-73260.654455673051</v>
      </c>
      <c r="N135" s="379">
        <f t="shared" si="21"/>
        <v>-63985.151417280103</v>
      </c>
      <c r="O135" s="379">
        <f t="shared" si="21"/>
        <v>-54338.628257351447</v>
      </c>
      <c r="P135" s="379">
        <f t="shared" si="21"/>
        <v>-44306.244171025639</v>
      </c>
      <c r="Q135" s="379">
        <f t="shared" si="21"/>
        <v>-33872.56472124681</v>
      </c>
      <c r="R135" s="379">
        <f t="shared" si="21"/>
        <v>-23021.538093476815</v>
      </c>
      <c r="S135" s="379">
        <f t="shared" si="21"/>
        <v>-11736.470400596023</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-169437.98041549666</v>
      </c>
      <c r="F136" s="379">
        <f t="shared" si="22"/>
        <v>-176215.49963211649</v>
      </c>
      <c r="G136" s="379">
        <f t="shared" si="22"/>
        <v>-183264.11961740113</v>
      </c>
      <c r="H136" s="379">
        <f t="shared" si="22"/>
        <v>-190594.68440209722</v>
      </c>
      <c r="I136" s="379">
        <f t="shared" si="22"/>
        <v>-198218.47177818109</v>
      </c>
      <c r="J136" s="379">
        <f t="shared" si="22"/>
        <v>-206147.21064930831</v>
      </c>
      <c r="K136" s="379">
        <f t="shared" si="22"/>
        <v>-214393.09907528065</v>
      </c>
      <c r="L136" s="379">
        <f t="shared" si="22"/>
        <v>-222968.82303829186</v>
      </c>
      <c r="M136" s="379">
        <f t="shared" si="22"/>
        <v>-231887.57595982356</v>
      </c>
      <c r="N136" s="379">
        <f t="shared" si="22"/>
        <v>-241163.07899821652</v>
      </c>
      <c r="O136" s="379">
        <f t="shared" si="22"/>
        <v>-250809.60215814516</v>
      </c>
      <c r="P136" s="379">
        <f t="shared" si="22"/>
        <v>-260841.98624447096</v>
      </c>
      <c r="Q136" s="379">
        <f t="shared" si="22"/>
        <v>-271275.66569424979</v>
      </c>
      <c r="R136" s="379">
        <f t="shared" si="22"/>
        <v>-282126.69232201978</v>
      </c>
      <c r="S136" s="379">
        <f t="shared" si="22"/>
        <v>-293411.76001490059</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-305148.23041549663</v>
      </c>
      <c r="F137" s="386">
        <f t="shared" ref="F137:AR137" si="23">SUM(F135,F136)</f>
        <v>-305148.23041549663</v>
      </c>
      <c r="G137" s="386">
        <f t="shared" si="23"/>
        <v>-305148.23041549663</v>
      </c>
      <c r="H137" s="386">
        <f t="shared" si="23"/>
        <v>-305148.23041549663</v>
      </c>
      <c r="I137" s="386">
        <f t="shared" si="23"/>
        <v>-305148.23041549663</v>
      </c>
      <c r="J137" s="386">
        <f t="shared" si="23"/>
        <v>-305148.23041549663</v>
      </c>
      <c r="K137" s="386">
        <f t="shared" si="23"/>
        <v>-305148.23041549663</v>
      </c>
      <c r="L137" s="386">
        <f t="shared" si="23"/>
        <v>-305148.23041549657</v>
      </c>
      <c r="M137" s="386">
        <f t="shared" si="23"/>
        <v>-305148.23041549663</v>
      </c>
      <c r="N137" s="386">
        <f t="shared" si="23"/>
        <v>-305148.23041549663</v>
      </c>
      <c r="O137" s="386">
        <f t="shared" si="23"/>
        <v>-305148.23041549663</v>
      </c>
      <c r="P137" s="386">
        <f t="shared" si="23"/>
        <v>-305148.23041549663</v>
      </c>
      <c r="Q137" s="386">
        <f t="shared" si="23"/>
        <v>-305148.23041549663</v>
      </c>
      <c r="R137" s="386">
        <f t="shared" si="23"/>
        <v>-305148.23041549657</v>
      </c>
      <c r="S137" s="386">
        <f t="shared" si="23"/>
        <v>-305148.23041549663</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5304251.416666667</v>
      </c>
      <c r="F139" s="379">
        <f t="shared" ref="F139:AR139" si="24">F132+F134+F135</f>
        <v>5307459.7358832862</v>
      </c>
      <c r="G139" s="379">
        <f t="shared" si="24"/>
        <v>5310867.7718685716</v>
      </c>
      <c r="H139" s="379">
        <f t="shared" si="24"/>
        <v>5314484.9409732679</v>
      </c>
      <c r="I139" s="379">
        <f t="shared" si="24"/>
        <v>5318321.0647557518</v>
      </c>
      <c r="J139" s="379">
        <f t="shared" si="24"/>
        <v>5322386.3867614064</v>
      </c>
      <c r="K139" s="379">
        <f t="shared" si="24"/>
        <v>5326691.5899845976</v>
      </c>
      <c r="L139" s="379">
        <f t="shared" si="24"/>
        <v>5331247.8150407718</v>
      </c>
      <c r="M139" s="379">
        <f t="shared" si="24"/>
        <v>5336066.67907733</v>
      </c>
      <c r="N139" s="379">
        <f t="shared" si="24"/>
        <v>5341160.2954530492</v>
      </c>
      <c r="O139" s="379">
        <f t="shared" si="24"/>
        <v>5346541.2942170519</v>
      </c>
      <c r="P139" s="379">
        <f t="shared" si="24"/>
        <v>5352222.8434195323</v>
      </c>
      <c r="Q139" s="379">
        <f t="shared" si="24"/>
        <v>5193347.2379946569</v>
      </c>
      <c r="R139" s="379">
        <f t="shared" si="24"/>
        <v>5364543.0893024057</v>
      </c>
      <c r="S139" s="379">
        <f t="shared" si="24"/>
        <v>5371211.0162098706</v>
      </c>
      <c r="T139" s="379">
        <f t="shared" si="24"/>
        <v>2547715.3057641932</v>
      </c>
      <c r="U139" s="379">
        <f t="shared" si="24"/>
        <v>2598669.6118794777</v>
      </c>
      <c r="V139" s="379">
        <f t="shared" si="24"/>
        <v>2650643.004117067</v>
      </c>
      <c r="W139" s="379">
        <f t="shared" si="24"/>
        <v>2703655.8641994083</v>
      </c>
      <c r="X139" s="379">
        <f t="shared" si="24"/>
        <v>2757728.9814833966</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-1007807.7691666668</v>
      </c>
      <c r="F140" s="379">
        <f t="shared" si="25"/>
        <v>-1008417.3498178244</v>
      </c>
      <c r="G140" s="379">
        <f t="shared" si="25"/>
        <v>-1009064.8766550287</v>
      </c>
      <c r="H140" s="379">
        <f t="shared" si="25"/>
        <v>-1009752.1387849209</v>
      </c>
      <c r="I140" s="379">
        <f t="shared" si="25"/>
        <v>-1010481.0023035929</v>
      </c>
      <c r="J140" s="379">
        <f t="shared" si="25"/>
        <v>-1011253.4134846672</v>
      </c>
      <c r="K140" s="379">
        <f t="shared" si="25"/>
        <v>-1012071.4020970736</v>
      </c>
      <c r="L140" s="379">
        <f t="shared" si="25"/>
        <v>-1012937.0848577466</v>
      </c>
      <c r="M140" s="379">
        <f t="shared" si="25"/>
        <v>-1013852.6690246927</v>
      </c>
      <c r="N140" s="379">
        <f t="shared" si="25"/>
        <v>-1014820.4561360794</v>
      </c>
      <c r="O140" s="379">
        <f t="shared" si="25"/>
        <v>-1015842.8459012399</v>
      </c>
      <c r="P140" s="379">
        <f t="shared" si="25"/>
        <v>-1016922.3402497112</v>
      </c>
      <c r="Q140" s="379">
        <f t="shared" si="25"/>
        <v>-986735.97521898476</v>
      </c>
      <c r="R140" s="379">
        <f t="shared" si="25"/>
        <v>-1019263.1869674571</v>
      </c>
      <c r="S140" s="379">
        <f t="shared" si="25"/>
        <v>-1020530.0930798755</v>
      </c>
      <c r="T140" s="379">
        <f t="shared" si="25"/>
        <v>-484065.9080951967</v>
      </c>
      <c r="U140" s="379">
        <f t="shared" si="25"/>
        <v>-493747.22625710076</v>
      </c>
      <c r="V140" s="379">
        <f t="shared" si="25"/>
        <v>-503622.17078224273</v>
      </c>
      <c r="W140" s="379">
        <f t="shared" si="25"/>
        <v>-513694.6141978876</v>
      </c>
      <c r="X140" s="379">
        <f t="shared" si="25"/>
        <v>-523968.50648184534</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4428584.000417836</v>
      </c>
      <c r="F142" s="386">
        <f t="shared" si="26"/>
        <v>4424405.2197666783</v>
      </c>
      <c r="G142" s="386">
        <f t="shared" si="26"/>
        <v>4420117.1089294739</v>
      </c>
      <c r="H142" s="386">
        <f t="shared" si="26"/>
        <v>4415716.4511195822</v>
      </c>
      <c r="I142" s="386">
        <f t="shared" si="26"/>
        <v>4411199.9240073105</v>
      </c>
      <c r="J142" s="386">
        <f t="shared" si="26"/>
        <v>4406564.0959607633</v>
      </c>
      <c r="K142" s="386">
        <f t="shared" si="26"/>
        <v>4401805.4221455762</v>
      </c>
      <c r="L142" s="386">
        <f t="shared" si="26"/>
        <v>4396920.2404780658</v>
      </c>
      <c r="M142" s="386">
        <f t="shared" si="26"/>
        <v>4391904.7674261462</v>
      </c>
      <c r="N142" s="386">
        <f t="shared" si="26"/>
        <v>4386755.0936520863</v>
      </c>
      <c r="O142" s="386">
        <f t="shared" si="26"/>
        <v>4381467.1794909993</v>
      </c>
      <c r="P142" s="386">
        <f t="shared" si="26"/>
        <v>4376036.8502586819</v>
      </c>
      <c r="Q142" s="386">
        <f t="shared" si="26"/>
        <v>4236913.9304147549</v>
      </c>
      <c r="R142" s="386">
        <f t="shared" si="26"/>
        <v>4364731.5433462616</v>
      </c>
      <c r="S142" s="386">
        <f t="shared" si="26"/>
        <v>4358847.4964484274</v>
      </c>
      <c r="T142" s="386">
        <f t="shared" si="26"/>
        <v>2063649.3976689964</v>
      </c>
      <c r="U142" s="386">
        <f t="shared" si="26"/>
        <v>2104922.385622377</v>
      </c>
      <c r="V142" s="386">
        <f t="shared" si="26"/>
        <v>2147020.8333348241</v>
      </c>
      <c r="W142" s="386">
        <f t="shared" si="26"/>
        <v>2189961.2500015208</v>
      </c>
      <c r="X142" s="386">
        <f t="shared" si="26"/>
        <v>2233760.4750015512</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-4523675</v>
      </c>
      <c r="E143" s="379">
        <f>E132+E140</f>
        <v>4733732.230833333</v>
      </c>
      <c r="F143" s="379">
        <f t="shared" ref="F143:AR143" si="27">F132+F140</f>
        <v>4729553.4501821753</v>
      </c>
      <c r="G143" s="379">
        <f t="shared" si="27"/>
        <v>4725265.3393449709</v>
      </c>
      <c r="H143" s="379">
        <f t="shared" si="27"/>
        <v>4720864.6815350791</v>
      </c>
      <c r="I143" s="379">
        <f t="shared" si="27"/>
        <v>4716348.1544228075</v>
      </c>
      <c r="J143" s="379">
        <f t="shared" si="27"/>
        <v>4711712.3263762603</v>
      </c>
      <c r="K143" s="379">
        <f t="shared" si="27"/>
        <v>4706953.6525610732</v>
      </c>
      <c r="L143" s="379">
        <f t="shared" si="27"/>
        <v>4702068.4708935628</v>
      </c>
      <c r="M143" s="379">
        <f t="shared" si="27"/>
        <v>4697052.9978416432</v>
      </c>
      <c r="N143" s="379">
        <f t="shared" si="27"/>
        <v>4691903.3240675833</v>
      </c>
      <c r="O143" s="379">
        <f t="shared" si="27"/>
        <v>4686615.4099064963</v>
      </c>
      <c r="P143" s="379">
        <f t="shared" si="27"/>
        <v>4681185.0806741789</v>
      </c>
      <c r="Q143" s="379">
        <f t="shared" si="27"/>
        <v>4542062.1608302519</v>
      </c>
      <c r="R143" s="379">
        <f t="shared" si="27"/>
        <v>4669879.7737617586</v>
      </c>
      <c r="S143" s="379">
        <f t="shared" si="27"/>
        <v>4663995.7268639244</v>
      </c>
      <c r="T143" s="379">
        <f t="shared" si="27"/>
        <v>2063649.3976689964</v>
      </c>
      <c r="U143" s="379">
        <f t="shared" si="27"/>
        <v>2104922.385622377</v>
      </c>
      <c r="V143" s="379">
        <f t="shared" si="27"/>
        <v>2147020.8333348241</v>
      </c>
      <c r="W143" s="379">
        <f t="shared" si="27"/>
        <v>2189961.2500015208</v>
      </c>
      <c r="X143" s="379">
        <f t="shared" si="27"/>
        <v>2233760.4750015512</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-1130918.75</v>
      </c>
      <c r="E144" s="379">
        <f>E142</f>
        <v>4428584.000417836</v>
      </c>
      <c r="F144" s="379">
        <f t="shared" ref="F144:AR144" si="28">F142</f>
        <v>4424405.2197666783</v>
      </c>
      <c r="G144" s="379">
        <f t="shared" si="28"/>
        <v>4420117.1089294739</v>
      </c>
      <c r="H144" s="379">
        <f t="shared" si="28"/>
        <v>4415716.4511195822</v>
      </c>
      <c r="I144" s="379">
        <f t="shared" si="28"/>
        <v>4411199.9240073105</v>
      </c>
      <c r="J144" s="379">
        <f t="shared" si="28"/>
        <v>4406564.0959607633</v>
      </c>
      <c r="K144" s="379">
        <f t="shared" si="28"/>
        <v>4401805.4221455762</v>
      </c>
      <c r="L144" s="379">
        <f t="shared" si="28"/>
        <v>4396920.2404780658</v>
      </c>
      <c r="M144" s="379">
        <f t="shared" si="28"/>
        <v>4391904.7674261462</v>
      </c>
      <c r="N144" s="379">
        <f t="shared" si="28"/>
        <v>4386755.0936520863</v>
      </c>
      <c r="O144" s="379">
        <f t="shared" si="28"/>
        <v>4381467.1794909993</v>
      </c>
      <c r="P144" s="379">
        <f t="shared" si="28"/>
        <v>4376036.8502586819</v>
      </c>
      <c r="Q144" s="379">
        <f t="shared" si="28"/>
        <v>4236913.9304147549</v>
      </c>
      <c r="R144" s="379">
        <f t="shared" si="28"/>
        <v>4364731.5433462616</v>
      </c>
      <c r="S144" s="379">
        <f t="shared" si="28"/>
        <v>4358847.4964484274</v>
      </c>
      <c r="T144" s="379">
        <f t="shared" si="28"/>
        <v>2063649.3976689964</v>
      </c>
      <c r="U144" s="379">
        <f t="shared" si="28"/>
        <v>2104922.385622377</v>
      </c>
      <c r="V144" s="379">
        <f t="shared" si="28"/>
        <v>2147020.8333348241</v>
      </c>
      <c r="W144" s="379">
        <f t="shared" si="28"/>
        <v>2189961.2500015208</v>
      </c>
      <c r="X144" s="379">
        <f t="shared" si="28"/>
        <v>2233760.4750015512</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7400000</v>
      </c>
      <c r="F145" s="379">
        <f t="shared" si="29"/>
        <v>7400000</v>
      </c>
      <c r="G145" s="379">
        <f t="shared" si="29"/>
        <v>7400000</v>
      </c>
      <c r="H145" s="379">
        <f t="shared" si="29"/>
        <v>7400000</v>
      </c>
      <c r="I145" s="379">
        <f t="shared" si="29"/>
        <v>7400000</v>
      </c>
      <c r="J145" s="379">
        <f t="shared" si="29"/>
        <v>7400000</v>
      </c>
      <c r="K145" s="379">
        <f t="shared" si="29"/>
        <v>7400000</v>
      </c>
      <c r="L145" s="379">
        <f t="shared" si="29"/>
        <v>7400000</v>
      </c>
      <c r="M145" s="379">
        <f t="shared" si="29"/>
        <v>7400000</v>
      </c>
      <c r="N145" s="379">
        <f t="shared" si="29"/>
        <v>7400000</v>
      </c>
      <c r="O145" s="379">
        <f t="shared" si="29"/>
        <v>7400000</v>
      </c>
      <c r="P145" s="379">
        <f t="shared" si="29"/>
        <v>7400000</v>
      </c>
      <c r="Q145" s="379">
        <f t="shared" si="29"/>
        <v>7400000</v>
      </c>
      <c r="R145" s="379">
        <f t="shared" si="29"/>
        <v>7400000</v>
      </c>
      <c r="S145" s="379">
        <f t="shared" si="29"/>
        <v>7400000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4523675</v>
      </c>
      <c r="E146" s="123">
        <f>IF(E112&lt;=$C76,D146-($C$5*E118+E132+E135),D146-(E132+E135))</f>
        <v>4649885.25</v>
      </c>
      <c r="F146" s="123">
        <f t="shared" ref="F146:AR146" si="30">IF(F112&lt;=$C76,E146-($C$5*F118+F132+F135),E146-(F132+F135))</f>
        <v>4772887.1807833808</v>
      </c>
      <c r="G146" s="123">
        <f t="shared" si="30"/>
        <v>4892481.0755814761</v>
      </c>
      <c r="H146" s="123">
        <f t="shared" si="30"/>
        <v>5008457.8012748752</v>
      </c>
      <c r="I146" s="123">
        <f>IF(I112&lt;=$C76,H146-($C$5*I118+I132+I135),H146-(I132+I135))</f>
        <v>5120598.4031857904</v>
      </c>
      <c r="J146" s="123">
        <f t="shared" si="30"/>
        <v>5228673.6830910509</v>
      </c>
      <c r="K146" s="123">
        <f>IF(K112&lt;=$C76,J146-($C$5*K118+K132+K135),J146-(K132+K135))</f>
        <v>5332443.7597731203</v>
      </c>
      <c r="L146" s="123">
        <f t="shared" si="30"/>
        <v>5431657.6113990154</v>
      </c>
      <c r="M146" s="123">
        <f t="shared" si="30"/>
        <v>5526052.5989883523</v>
      </c>
      <c r="N146" s="123">
        <f t="shared" si="30"/>
        <v>5615353.9702019701</v>
      </c>
      <c r="O146" s="123">
        <f t="shared" si="30"/>
        <v>5699274.3426515851</v>
      </c>
      <c r="P146" s="123">
        <f t="shared" si="30"/>
        <v>5777513.1658987198</v>
      </c>
      <c r="Q146" s="123">
        <f t="shared" si="30"/>
        <v>6014627.5945707299</v>
      </c>
      <c r="R146" s="123">
        <f t="shared" si="30"/>
        <v>6080546.1719349911</v>
      </c>
      <c r="S146" s="123">
        <f t="shared" si="30"/>
        <v>6139796.8223917875</v>
      </c>
      <c r="T146" s="123">
        <f t="shared" si="30"/>
        <v>3592081.5166275944</v>
      </c>
      <c r="U146" s="123">
        <f t="shared" si="30"/>
        <v>993411.90474811662</v>
      </c>
      <c r="V146" s="123">
        <f t="shared" si="30"/>
        <v>-1657231.0993689504</v>
      </c>
      <c r="W146" s="123">
        <f t="shared" si="30"/>
        <v>-4360886.9635683587</v>
      </c>
      <c r="X146" s="123">
        <f t="shared" si="30"/>
        <v>-7118615.9450517558</v>
      </c>
      <c r="Y146" s="123">
        <f t="shared" si="30"/>
        <v>-7118615.9450517558</v>
      </c>
      <c r="Z146" s="123">
        <f t="shared" si="30"/>
        <v>-7118615.9450517558</v>
      </c>
      <c r="AA146" s="123">
        <f>IF(AA112&lt;=$C76,Z146-($C$5*AA118+AA132+AA135),Z146-(AA132+AA135))</f>
        <v>-7118615.9450517558</v>
      </c>
      <c r="AB146" s="123">
        <f t="shared" si="30"/>
        <v>-7118615.9450517558</v>
      </c>
      <c r="AC146" s="123">
        <f t="shared" si="30"/>
        <v>-7118615.9450517558</v>
      </c>
      <c r="AD146" s="123">
        <f t="shared" si="30"/>
        <v>-7118615.9450517558</v>
      </c>
      <c r="AE146" s="123">
        <f>IF(AE112&lt;=$C76,AD146-($C$5*AE118+AE132+AE135),AD146-(AE132+AE135))</f>
        <v>-7118615.9450517558</v>
      </c>
      <c r="AF146" s="123">
        <f t="shared" si="30"/>
        <v>-7118615.9450517558</v>
      </c>
      <c r="AG146" s="123">
        <f>IF(AG112&lt;=$C76,AF146-($C$5*AG118+AG132+AG135),AF146-(AG132+AG135))</f>
        <v>-7118615.9450517558</v>
      </c>
      <c r="AH146" s="123">
        <f t="shared" si="30"/>
        <v>-7118615.9450517558</v>
      </c>
      <c r="AI146" s="123">
        <f t="shared" si="30"/>
        <v>-7118615.9450517558</v>
      </c>
      <c r="AJ146" s="123">
        <f t="shared" si="30"/>
        <v>-7118615.9450517558</v>
      </c>
      <c r="AK146" s="123">
        <f t="shared" si="30"/>
        <v>-7118615.9450517558</v>
      </c>
      <c r="AL146" s="123">
        <f t="shared" si="30"/>
        <v>-7118615.9450517558</v>
      </c>
      <c r="AM146" s="123">
        <f t="shared" si="30"/>
        <v>-7118615.9450517558</v>
      </c>
      <c r="AN146" s="123">
        <f t="shared" si="30"/>
        <v>-7118615.9450517558</v>
      </c>
      <c r="AO146" s="123">
        <f t="shared" si="30"/>
        <v>-7118615.9450517558</v>
      </c>
      <c r="AP146" s="123">
        <f t="shared" si="30"/>
        <v>-7118615.9450517558</v>
      </c>
      <c r="AQ146" s="123">
        <f t="shared" si="30"/>
        <v>-7118615.9450517558</v>
      </c>
      <c r="AR146" s="387">
        <f t="shared" si="30"/>
        <v>-7118615.9450517558</v>
      </c>
    </row>
    <row r="147" spans="1:44" ht="13" thickBot="1" x14ac:dyDescent="0.3">
      <c r="B147" s="124" t="s">
        <v>473</v>
      </c>
      <c r="C147" s="125"/>
      <c r="D147" s="125"/>
      <c r="E147" s="126">
        <f>IF(E112&gt;$C$74,"",(-$C$94*(E139+$C$5*E118)+E132+$C$5*E118)/-E137)</f>
        <v>0.29749420702759999</v>
      </c>
      <c r="F147" s="126">
        <f t="shared" ref="F147:AR147" si="31">IF(F112&gt;$C$74,"",(-$C$94*(F139+$C$5*F118)+F132+$C$5*F118)/-F137)</f>
        <v>0.28379994229118716</v>
      </c>
      <c r="G147" s="126">
        <f t="shared" si="31"/>
        <v>0.26974739205563247</v>
      </c>
      <c r="H147" s="126">
        <f t="shared" si="31"/>
        <v>0.25532601460277737</v>
      </c>
      <c r="I147" s="126">
        <f t="shared" si="31"/>
        <v>0.24052492233977513</v>
      </c>
      <c r="J147" s="126">
        <f t="shared" si="31"/>
        <v>0.22533286947997624</v>
      </c>
      <c r="K147" s="126">
        <f t="shared" si="31"/>
        <v>0.20973823926138221</v>
      </c>
      <c r="L147" s="126">
        <f t="shared" si="31"/>
        <v>0.19372903068475797</v>
      </c>
      <c r="M147" s="126">
        <f t="shared" si="31"/>
        <v>0.17729284475279161</v>
      </c>
      <c r="N147" s="126">
        <f t="shared" si="31"/>
        <v>0.16041687019102552</v>
      </c>
      <c r="O147" s="126">
        <f t="shared" si="31"/>
        <v>0.14308786863041412</v>
      </c>
      <c r="P147" s="126">
        <f t="shared" si="31"/>
        <v>0.12529215923068271</v>
      </c>
      <c r="Q147" s="126">
        <f t="shared" si="31"/>
        <v>-0.33062698424425785</v>
      </c>
      <c r="R147" s="126">
        <f t="shared" si="31"/>
        <v>8.8243584847578174E-2</v>
      </c>
      <c r="S147" s="126">
        <f t="shared" si="31"/>
        <v>6.8960999168407366E-2</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44788203.78491497</v>
      </c>
      <c r="D150" s="57" t="s">
        <v>476</v>
      </c>
    </row>
    <row r="151" spans="1:44" x14ac:dyDescent="0.25">
      <c r="B151" s="26" t="s">
        <v>477</v>
      </c>
      <c r="C151" s="153">
        <f>(1-$C$94)*NPV($C$91,E145:AR145)</f>
        <v>56359597.115282513</v>
      </c>
      <c r="D151" s="58" t="str">
        <f>$C$7</f>
        <v>kWh</v>
      </c>
      <c r="F151" s="59"/>
    </row>
    <row r="152" spans="1:44" x14ac:dyDescent="0.25">
      <c r="B152" s="26" t="s">
        <v>478</v>
      </c>
      <c r="C152" s="153">
        <f>$C$41*1000000</f>
        <v>4523675</v>
      </c>
      <c r="D152" s="57" t="s">
        <v>424</v>
      </c>
      <c r="F152" s="60"/>
    </row>
    <row r="153" spans="1:44" x14ac:dyDescent="0.25">
      <c r="B153" s="26" t="s">
        <v>479</v>
      </c>
      <c r="C153" s="154">
        <f>AVERAGE(E147:AR147)</f>
        <v>0.16055733068798203</v>
      </c>
      <c r="D153" s="57"/>
      <c r="F153" s="60"/>
    </row>
    <row r="154" spans="1:44" x14ac:dyDescent="0.25">
      <c r="B154" s="26" t="s">
        <v>480</v>
      </c>
      <c r="C154" s="155" t="str">
        <f>CONCATENATE(ROUND(((1-$C$94)*$C$90*$C$92+$C$93*$C$91)*100,1),"% / ",ROUND((((1+(1-$C$94)*$C$90*$C$92+$C$93*$C$91)/(1+$C$89))-1)*100,1),"%")</f>
        <v>4.1% / 2%</v>
      </c>
      <c r="D154" s="57"/>
      <c r="F154" s="59"/>
      <c r="G154" s="61"/>
    </row>
    <row r="155" spans="1:44" x14ac:dyDescent="0.25">
      <c r="B155" s="26" t="s">
        <v>481</v>
      </c>
      <c r="C155" s="156">
        <f>IFERROR(IRR(D143:AR143),"n.v.t.")</f>
        <v>1.0455133978879259</v>
      </c>
      <c r="D155" s="57"/>
      <c r="F155" s="60"/>
      <c r="G155" s="61"/>
    </row>
    <row r="156" spans="1:44" x14ac:dyDescent="0.25">
      <c r="B156" s="26" t="s">
        <v>482</v>
      </c>
      <c r="C156" s="156">
        <f>IFERROR(IRR(D144:AR144),"n.v.t.")</f>
        <v>3.9149668590902253</v>
      </c>
      <c r="D156" s="57"/>
      <c r="G156" s="61"/>
    </row>
    <row r="157" spans="1:44" x14ac:dyDescent="0.25">
      <c r="B157" s="38" t="s">
        <v>483</v>
      </c>
      <c r="C157" s="153">
        <f>$C$92*C152-C97</f>
        <v>3392756.25</v>
      </c>
      <c r="D157" s="57" t="s">
        <v>424</v>
      </c>
      <c r="F157" s="35"/>
    </row>
    <row r="158" spans="1:44" x14ac:dyDescent="0.25">
      <c r="B158" s="38" t="s">
        <v>484</v>
      </c>
      <c r="C158" s="153">
        <f>$C$93*C152-C98</f>
        <v>1130918.75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740</v>
      </c>
      <c r="D160" s="57" t="s">
        <v>340</v>
      </c>
      <c r="F160" s="35"/>
    </row>
    <row r="161" spans="2:44" x14ac:dyDescent="0.25">
      <c r="B161" s="43" t="s">
        <v>487</v>
      </c>
      <c r="C161" s="461" t="str">
        <f>CONCATENATE( "tussen ", INDEX(D112:X112, MATCH(0,D146:X146, -1)), " en ",  1 + INDEX(D112:X112, MATCH(0,D146:X146, -1)), " jaar")</f>
        <v>tussen 17 en 18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333" t="s">
        <v>46</v>
      </c>
      <c r="C164" s="419" t="str">
        <f>IF($C12="","","")</f>
        <v/>
      </c>
      <c r="D164" s="334" t="str">
        <f t="shared" ref="D164:D174" si="32">CONCATENATE("Euro/",$C$7)</f>
        <v>Euro/kWh</v>
      </c>
    </row>
    <row r="165" spans="2:44" ht="14.65" customHeight="1" x14ac:dyDescent="0.25">
      <c r="B165" s="65" t="s">
        <v>489</v>
      </c>
      <c r="C165" s="345" t="str">
        <f>IF(C15&gt;0,C166&amp;" / "&amp;C167,ROUND(VLOOKUP($C12,Correcties!$A$4:$H$10,8),3))</f>
        <v>0.035 / 0.074</v>
      </c>
      <c r="D165" s="57" t="str">
        <f t="shared" si="32"/>
        <v>Euro/kWh</v>
      </c>
    </row>
    <row r="166" spans="2:44" x14ac:dyDescent="0.25">
      <c r="B166" s="26" t="s">
        <v>490</v>
      </c>
      <c r="C166" s="140">
        <f>IFERROR(ROUND(INDEX(Correcties!$A$1:$I$10,MATCH(C15,Correcties!$A$1:$A$10,0),8),decimalen),"n.v.t.")</f>
        <v>3.5000000000000003E-2</v>
      </c>
      <c r="D166" s="57" t="str">
        <f t="shared" si="32"/>
        <v>Euro/kWh</v>
      </c>
    </row>
    <row r="167" spans="2:44" s="10" customFormat="1" x14ac:dyDescent="0.25">
      <c r="B167" s="27" t="s">
        <v>33</v>
      </c>
      <c r="C167" s="343">
        <f>IFERROR(ROUND(INDEX(Correcties!$A$1:$I$11,MATCH(C16,Correcties!$A$1:$A$11,0),8),decimalen),"n.v.t.")</f>
        <v>7.3999999999999996E-2</v>
      </c>
      <c r="D167" s="66" t="str">
        <f t="shared" si="32"/>
        <v>Euro/kWh</v>
      </c>
    </row>
    <row r="168" spans="2:44" s="10" customFormat="1" x14ac:dyDescent="0.25">
      <c r="B168" s="93" t="s">
        <v>491</v>
      </c>
      <c r="C168" s="342" t="str">
        <f>IF(C16&gt;0,"netlevering: "&amp;ROUND(VLOOKUP($C$15,Correcties!$A$4:$M$11,6,FALSE),decimalen)&amp;", niet-netlevering: "&amp;ROUND(VLOOKUP($C$16,Correcties!$A$4:$M$11,6,FALSE),decimalen))</f>
        <v>netlevering: 0.052, niet-netlevering: 0.091</v>
      </c>
      <c r="D168" s="94" t="str">
        <f t="shared" si="32"/>
        <v>Euro/kWh</v>
      </c>
    </row>
    <row r="169" spans="2:44" s="10" customFormat="1" x14ac:dyDescent="0.25">
      <c r="B169" s="26" t="str">
        <f>"Voorlopig correctiebedrag "&amp;Colofon!$C$29</f>
        <v>Voorlopig correctiebedrag 2025</v>
      </c>
      <c r="C169" s="140" t="str">
        <f>IF(C16&gt;0,"netlevering: "&amp;ROUND(VLOOKUP($C$15,Correcties!$A$4:$M$11,4,FALSE),decimalen)&amp;", niet-netlevering: "&amp;ROUND(VLOOKUP($C$16,Correcties!$A$4:$M$11,4),decimalen))</f>
        <v>netlevering: 0.053, niet-netlevering: 0.093</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t="str">
        <f>IF(C16&gt;0,"netlevering: "&amp;ROUND(VLOOKUP($C$15,Correcties!$A$4:$M$11,12,FALSE),decimalen)&amp;", niet-netlevering: "&amp;ROUND(VLOOKUP($C$16,Correcties!$A$4:$M$11,12,FALSE),decimalen))</f>
        <v>netlevering: 0.004, niet-netlevering: 0</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5" t="s">
        <v>492</v>
      </c>
      <c r="C172" s="344">
        <f>IF(C14="Nee",0,IF(NOT(OR($C$13=6,$C$13=7,$C$13=9)),_xlfn.XLOOKUP($C$13,Correcties!A27:A37,Correcties!F27:F37,"foutmelding"),($C$22-1)/$C$22*Correcties!H69*IF($C$13=7,1,Correcties!H70)*IF($C$13=9,Correcties!H71,1))*IF(C159=0,1,C159/(1+C159)))</f>
        <v>0</v>
      </c>
      <c r="D172" s="57" t="str">
        <f t="shared" si="32"/>
        <v>Euro/kWh</v>
      </c>
      <c r="F172" s="67"/>
      <c r="G172" s="67"/>
      <c r="H172" s="67"/>
      <c r="I172" s="67"/>
      <c r="J172" s="67"/>
      <c r="K172" s="67"/>
      <c r="L172" s="67"/>
      <c r="M172" s="67"/>
      <c r="N172" s="67"/>
      <c r="O172" s="67"/>
      <c r="P172" s="67"/>
    </row>
    <row r="173" spans="2:44" s="10" customFormat="1" ht="13.5" customHeight="1" x14ac:dyDescent="0.25">
      <c r="B173" s="333" t="s">
        <v>493</v>
      </c>
      <c r="C173" s="419">
        <f>IFERROR(ROUND(INDEX(Correcties!$A$1:$K$10,MATCH(C15,Correcties!$A$1:$A$10,0),6),decimalen),"n.v.t.")</f>
        <v>5.1999999999999998E-2</v>
      </c>
      <c r="D173" s="334" t="str">
        <f t="shared" si="32"/>
        <v>Euro/kWh</v>
      </c>
      <c r="F173" s="67"/>
      <c r="G173" s="67"/>
      <c r="H173" s="67"/>
      <c r="I173" s="67"/>
      <c r="J173" s="67"/>
      <c r="K173" s="67"/>
      <c r="L173" s="67"/>
      <c r="M173" s="67"/>
      <c r="N173" s="67"/>
      <c r="O173" s="67"/>
      <c r="P173" s="67"/>
    </row>
    <row r="174" spans="2:44" s="10" customFormat="1" ht="13.5" customHeight="1" x14ac:dyDescent="0.25">
      <c r="B174" s="68" t="s">
        <v>494</v>
      </c>
      <c r="C174" s="343">
        <f>IFERROR(ROUND(INDEX(Correcties!$A$1:$K$11,MATCH(C16,Correcties!$A$1:$A$11,0),6),decimalen),"n.v.t.")</f>
        <v>9.0999999999999998E-2</v>
      </c>
      <c r="D174" s="66" t="str">
        <f t="shared" si="32"/>
        <v>Euro/kWh</v>
      </c>
      <c r="F174" s="67"/>
      <c r="G174" s="67"/>
      <c r="H174" s="67"/>
      <c r="I174" s="67"/>
      <c r="J174" s="67"/>
      <c r="K174" s="67"/>
      <c r="L174" s="67"/>
      <c r="M174" s="67"/>
      <c r="N174" s="67"/>
      <c r="O174" s="67"/>
      <c r="P174" s="67"/>
    </row>
    <row r="175" spans="2:44" s="10" customFormat="1" x14ac:dyDescent="0.25">
      <c r="B175" s="65" t="str">
        <f>"Voorlopig correctiebedrag "&amp;Colofon!$B$21&amp;""</f>
        <v xml:space="preserve">Voorlopig correctiebedrag </v>
      </c>
      <c r="C175" s="159" t="str">
        <f>IF(C15&gt;0,"netlevering: "&amp;C176&amp;", niet-netlevering: "&amp;C177,ROUND(VLOOKUP($C21,Correcties!$A$4:$J$74,6),decimalen))</f>
        <v>netlevering: 0.057, niet-netlevering: 0.093</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4">
        <f>ROUND(VLOOKUP(C15,Correcties!$A$4:$K$11,10,FALSE),decimalen)</f>
        <v>5.7000000000000002E-2</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343">
        <f>ROUND(VLOOKUP(C16,Correcties!$A$4:$K$11,10,FALSE),decimalen)</f>
        <v>9.2999999999999999E-2</v>
      </c>
      <c r="D177" s="66" t="s">
        <v>406</v>
      </c>
      <c r="F177" s="67"/>
      <c r="G177" s="67"/>
      <c r="H177" s="67"/>
      <c r="I177" s="67"/>
      <c r="J177" s="67"/>
      <c r="K177" s="67"/>
      <c r="L177" s="67"/>
      <c r="M177" s="67"/>
      <c r="N177" s="67"/>
      <c r="O177" s="67"/>
      <c r="P177" s="67"/>
    </row>
    <row r="178" spans="2:16" s="10" customFormat="1" x14ac:dyDescent="0.25">
      <c r="B178" s="68" t="str">
        <f>"Voorlopige GvO-waarde "&amp;Colofon!$C$29</f>
        <v>Voorlopige GvO-waarde 2025</v>
      </c>
      <c r="C178" s="343">
        <f>ROUND(VLOOKUP($C$15,Correcties!$A$4:$M$11,12,FALSE),decimalen)</f>
        <v>4.0000000000000001E-3</v>
      </c>
      <c r="D178" s="66" t="str">
        <f t="shared" ref="D178" si="33">CONCATENATE("Euro/",$C$7)</f>
        <v>Euro/kWh</v>
      </c>
      <c r="E178" s="67"/>
      <c r="F178" s="67"/>
      <c r="G178" s="67"/>
      <c r="H178" s="67"/>
      <c r="I178" s="67"/>
      <c r="J178" s="67"/>
      <c r="K178" s="67"/>
      <c r="L178" s="67"/>
      <c r="M178" s="67"/>
      <c r="N178" s="67"/>
      <c r="O178" s="67"/>
      <c r="P178" s="67"/>
    </row>
    <row r="179" spans="2:16" s="10" customFormat="1" x14ac:dyDescent="0.25">
      <c r="E179" s="67"/>
      <c r="F179" s="67"/>
      <c r="G179" s="67"/>
      <c r="H179" s="67"/>
      <c r="I179" s="67"/>
      <c r="J179" s="67"/>
      <c r="K179" s="67"/>
      <c r="L179" s="67"/>
      <c r="M179" s="67"/>
      <c r="N179" s="67"/>
      <c r="O179" s="67"/>
      <c r="P179" s="67"/>
    </row>
    <row r="180" spans="2:16" s="10" customFormat="1" x14ac:dyDescent="0.25">
      <c r="B180" s="102" t="s">
        <v>495</v>
      </c>
      <c r="C180" s="103" t="s">
        <v>79</v>
      </c>
      <c r="D180" s="128" t="s">
        <v>136</v>
      </c>
    </row>
    <row r="181" spans="2:16" s="10" customFormat="1" x14ac:dyDescent="0.25">
      <c r="B181" s="26" t="s">
        <v>496</v>
      </c>
      <c r="C181" s="69">
        <v>35.799999999999997</v>
      </c>
      <c r="D181" s="57" t="s">
        <v>497</v>
      </c>
    </row>
    <row r="182" spans="2:16" s="10" customFormat="1" x14ac:dyDescent="0.25">
      <c r="B182" s="26" t="s">
        <v>498</v>
      </c>
      <c r="C182" s="69">
        <v>31.65</v>
      </c>
      <c r="D182" s="57" t="s">
        <v>497</v>
      </c>
    </row>
    <row r="183" spans="2:16" s="10" customFormat="1" x14ac:dyDescent="0.25">
      <c r="B183" s="26" t="s">
        <v>499</v>
      </c>
      <c r="C183" s="69">
        <v>35.17</v>
      </c>
      <c r="D183" s="57" t="s">
        <v>497</v>
      </c>
    </row>
    <row r="184" spans="2:16" s="10" customFormat="1" x14ac:dyDescent="0.25">
      <c r="B184" s="27" t="s">
        <v>500</v>
      </c>
      <c r="C184" s="70">
        <v>3.6</v>
      </c>
      <c r="D184" s="66" t="s">
        <v>501</v>
      </c>
    </row>
    <row r="185" spans="2:16" s="10" customFormat="1" x14ac:dyDescent="0.25">
      <c r="E185" s="71"/>
    </row>
    <row r="186" spans="2:16" s="10" customFormat="1" x14ac:dyDescent="0.25"/>
    <row r="187" spans="2:16" x14ac:dyDescent="0.25">
      <c r="E187" s="10"/>
      <c r="F187" s="10"/>
      <c r="H187" s="10"/>
    </row>
    <row r="188" spans="2:16" x14ac:dyDescent="0.25">
      <c r="E188" s="10"/>
      <c r="F188" s="10"/>
      <c r="H188" s="10"/>
    </row>
    <row r="189" spans="2:16" x14ac:dyDescent="0.25">
      <c r="E189" s="10"/>
      <c r="F189" s="10"/>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9 G110:G114 G149:G160 G164:G168 G170">
    <cfRule type="containsText" dxfId="53" priority="5" operator="containsText" text="Pas op">
      <formula>NOT(ISERROR(SEARCH("Pas op",G19)))</formula>
    </cfRule>
  </conditionalFormatting>
  <conditionalFormatting sqref="G105">
    <cfRule type="containsText" dxfId="52" priority="3" operator="containsText" text="Pas op">
      <formula>NOT(ISERROR(SEARCH("Pas op",G105)))</formula>
    </cfRule>
  </conditionalFormatting>
  <conditionalFormatting sqref="G185:G1048576">
    <cfRule type="containsText" dxfId="51" priority="4" operator="containsText" text="Pas op">
      <formula>NOT(ISERROR(SEARCH("Pas op",G185)))</formula>
    </cfRule>
  </conditionalFormatting>
  <dataValidations count="3">
    <dataValidation type="list" allowBlank="1" showInputMessage="1" showErrorMessage="1" sqref="C14" xr:uid="{8D731698-7441-44EA-BE4D-EE57FF76AFB9}">
      <formula1>"Nee,Ja,Geen warmte"</formula1>
    </dataValidation>
    <dataValidation type="list" allowBlank="1" showInputMessage="1" showErrorMessage="1" sqref="C7" xr:uid="{66A969B0-731D-4A5A-B547-F526F0B126E2}">
      <formula1>"t CO2,kWh"</formula1>
    </dataValidation>
    <dataValidation type="list" allowBlank="1" showInputMessage="1" showErrorMessage="1" sqref="C37362 C102898 C168434 C233970 C299506 C365042 C430578 C496114 C561650 C627186 C692722 C758258 C823794 C889330 C954866" xr:uid="{D8A30067-0CBD-49E4-BE65-0F093CB0510F}">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F3D65F0-CA97-4B31-9451-495E9482B55E}">
          <x14:formula1>
            <xm:f>Correcties!$A$27:$A$38</xm:f>
          </x14:formula1>
          <xm:sqref>C13</xm:sqref>
        </x14:dataValidation>
        <x14:dataValidation type="list" allowBlank="1" showInputMessage="1" showErrorMessage="1" xr:uid="{D73E3092-B6FF-4ED3-A557-8A746FC97247}">
          <x14:formula1>
            <xm:f>Colofon!$B$34:$B$39</xm:f>
          </x14:formula1>
          <xm:sqref>C9</xm:sqref>
        </x14:dataValidation>
        <x14:dataValidation type="list" allowBlank="1" showInputMessage="1" showErrorMessage="1" xr:uid="{3F2F4991-DAC0-4981-8BF9-8B1D548318AB}">
          <x14:formula1>
            <xm:f>Correcties!$A$4:$A$10</xm:f>
          </x14:formula1>
          <xm:sqref>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DCAE-137E-4425-9459-F0AF79A1A2F9}">
  <sheetPr>
    <tabColor theme="7" tint="0.79998168889431442"/>
    <pageSetUpPr fitToPage="1"/>
  </sheetPr>
  <dimension ref="A1:AR199"/>
  <sheetViews>
    <sheetView showGridLines="0" topLeftCell="B105" zoomScaleNormal="100" workbookViewId="0">
      <selection activeCell="E127" sqref="E127"/>
    </sheetView>
  </sheetViews>
  <sheetFormatPr defaultColWidth="12.7265625" defaultRowHeight="12.5" x14ac:dyDescent="0.25"/>
  <cols>
    <col min="1" max="1" width="1.453125" style="350" customWidth="1"/>
    <col min="2" max="2" width="53.453125" style="350" customWidth="1"/>
    <col min="3" max="3" width="14.26953125" style="357" customWidth="1"/>
    <col min="4" max="4" width="29.26953125" style="357" customWidth="1"/>
    <col min="5" max="5" width="20.26953125" style="350" customWidth="1"/>
    <col min="6" max="7" width="12.7265625" style="350" customWidth="1"/>
    <col min="8" max="12" width="12.7265625" style="350" bestFit="1"/>
    <col min="13" max="13" width="15.26953125" style="350" customWidth="1"/>
    <col min="14" max="16384" width="12.7265625" style="350"/>
  </cols>
  <sheetData>
    <row r="1" spans="1:44" ht="20" x14ac:dyDescent="0.4">
      <c r="A1" s="28" t="str">
        <f>CONCATENATE("Berekening basisbedragen: ", Colofon!C16)</f>
        <v>Berekening basisbedragen: Eindadvies SCE 2025</v>
      </c>
      <c r="B1" s="16"/>
      <c r="C1" s="29"/>
      <c r="D1" s="29"/>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row>
    <row r="2" spans="1:44" s="351" customFormat="1" ht="20" x14ac:dyDescent="0.4">
      <c r="A2" s="30" t="s">
        <v>507</v>
      </c>
      <c r="B2" s="31"/>
      <c r="C2" s="32"/>
      <c r="D2" s="32"/>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row>
    <row r="4" spans="1:44" x14ac:dyDescent="0.25">
      <c r="A4" s="16"/>
      <c r="B4" s="102" t="s">
        <v>299</v>
      </c>
      <c r="C4" s="103" t="s">
        <v>79</v>
      </c>
      <c r="D4" s="103" t="s">
        <v>136</v>
      </c>
      <c r="E4" s="445" t="s">
        <v>63</v>
      </c>
      <c r="F4" s="445"/>
      <c r="G4" s="445"/>
      <c r="H4" s="445"/>
      <c r="I4" s="445"/>
      <c r="J4" s="445"/>
      <c r="K4" s="445"/>
      <c r="L4" s="445"/>
      <c r="M4" s="44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row>
    <row r="5" spans="1:44" ht="13" x14ac:dyDescent="0.3">
      <c r="A5" s="16"/>
      <c r="B5" s="96" t="s">
        <v>37</v>
      </c>
      <c r="C5" s="313">
        <f>ROUND((C158-C150)/C151,4)</f>
        <v>8.6699999999999999E-2</v>
      </c>
      <c r="D5" s="98" t="str">
        <f>CONCATENATE("Euro/",$C$7)</f>
        <v>Euro/kWh</v>
      </c>
      <c r="E5" s="447" t="s">
        <v>300</v>
      </c>
      <c r="F5" s="447"/>
      <c r="G5" s="447"/>
      <c r="H5" s="447"/>
      <c r="I5" s="447"/>
      <c r="J5" s="447"/>
      <c r="K5" s="447"/>
      <c r="L5" s="447"/>
      <c r="M5" s="448"/>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row>
    <row r="6" spans="1:44" ht="13" x14ac:dyDescent="0.3">
      <c r="A6" s="16"/>
      <c r="B6" s="96" t="s">
        <v>301</v>
      </c>
      <c r="C6" s="135">
        <f>(ROUND(C5,4)-(ROUND(C173,4)+ROUND(C178,4)+ROUND(C172,4)))/ROUND(C70,4)*1000</f>
        <v>488.07631160572345</v>
      </c>
      <c r="D6" s="99" t="s">
        <v>302</v>
      </c>
      <c r="E6" s="447" t="s">
        <v>303</v>
      </c>
      <c r="F6" s="447"/>
      <c r="G6" s="447"/>
      <c r="H6" s="447"/>
      <c r="I6" s="447"/>
      <c r="J6" s="447"/>
      <c r="K6" s="447"/>
      <c r="L6" s="447"/>
      <c r="M6" s="448"/>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row>
    <row r="7" spans="1:44" ht="13" x14ac:dyDescent="0.3">
      <c r="A7" s="16"/>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A8" s="16"/>
      <c r="B8" s="96" t="s">
        <v>307</v>
      </c>
      <c r="C8" s="136" t="s">
        <v>308</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A9" s="16"/>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2" customFormat="1" ht="13" x14ac:dyDescent="0.3">
      <c r="A10" s="35"/>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A11" s="16"/>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A12" s="16"/>
      <c r="B12" s="104" t="s">
        <v>312</v>
      </c>
      <c r="C12" s="162"/>
      <c r="D12" s="105" t="str">
        <f>_xlfn.XLOOKUP(C12,Correcties!A4:A11,Correcties!B4:B11,"")</f>
        <v/>
      </c>
      <c r="E12" s="449">
        <f>IFERROR(INDEX(Correcties!$A$1:$I$301,MATCH('5'!C12,Correcties!$A$1:$A$301,0),5),"")</f>
        <v>0</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A13" s="16"/>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A14" s="16"/>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A15" s="16"/>
      <c r="B15" s="96" t="s">
        <v>318</v>
      </c>
      <c r="C15" s="421">
        <v>6.3</v>
      </c>
      <c r="D15" s="99" t="str">
        <f>_xlfn.XLOOKUP(C15,Correcties!A4:A11,Correcties!B4:B11,"")</f>
        <v>Elektriciteit-ZonPV-netlevering (negatieve uren niet meegenomen)</v>
      </c>
      <c r="E15" s="447" t="str">
        <f>"Enkel relevant voor zon-pv. "&amp;_xlfn.XLOOKUP(C15,Correcties!A4:A11,Correcties!E4:E11,"")</f>
        <v>Enkel relevant voor zon-pv. EPEX2 x PIF_PV2</v>
      </c>
      <c r="F15" s="447"/>
      <c r="G15" s="447"/>
      <c r="H15" s="447"/>
      <c r="I15" s="447"/>
      <c r="J15" s="447"/>
      <c r="K15" s="447"/>
      <c r="L15" s="447"/>
      <c r="M15" s="448"/>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4" x14ac:dyDescent="0.25">
      <c r="A16" s="16"/>
      <c r="B16" s="96" t="s">
        <v>319</v>
      </c>
      <c r="C16" s="167">
        <v>8.3000000000000007</v>
      </c>
      <c r="D16" s="99" t="str">
        <f>_xlfn.XLOOKUP(C16,Correcties!A4:A11,Correcties!B4:B11,"")</f>
        <v>Elektricteit-ZonPV-niet-netlevering, groot (negatieve uren niet meegenomen)</v>
      </c>
      <c r="E16" s="447" t="str">
        <f>"Enkel relevant voor zon-pv. "&amp;_xlfn.XLOOKUP(C16,Correcties!A4:A11,Correcties!E4:E11,"")</f>
        <v>Enkel relevant voor zon-pv. EPEX2 x PIF_PV + EB3_e + ODE3_e</v>
      </c>
      <c r="F16" s="447"/>
      <c r="G16" s="447"/>
      <c r="H16" s="447"/>
      <c r="I16" s="447"/>
      <c r="J16" s="447"/>
      <c r="K16" s="447"/>
      <c r="L16" s="447"/>
      <c r="M16" s="448"/>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2:13" x14ac:dyDescent="0.25">
      <c r="B17" s="96" t="s">
        <v>320</v>
      </c>
      <c r="C17" s="163"/>
      <c r="D17" s="99"/>
      <c r="E17" s="447" t="s">
        <v>321</v>
      </c>
      <c r="F17" s="447"/>
      <c r="G17" s="447"/>
      <c r="H17" s="447"/>
      <c r="I17" s="447"/>
      <c r="J17" s="447"/>
      <c r="K17" s="447"/>
      <c r="L17" s="447"/>
      <c r="M17" s="448"/>
    </row>
    <row r="18" spans="2:13" x14ac:dyDescent="0.25">
      <c r="B18" s="97" t="s">
        <v>322</v>
      </c>
      <c r="C18" s="164"/>
      <c r="D18" s="107"/>
      <c r="E18" s="451" t="s">
        <v>323</v>
      </c>
      <c r="F18" s="451"/>
      <c r="G18" s="451"/>
      <c r="H18" s="451"/>
      <c r="I18" s="451"/>
      <c r="J18" s="451"/>
      <c r="K18" s="451"/>
      <c r="L18" s="451"/>
      <c r="M18" s="452"/>
    </row>
    <row r="19" spans="2:13" x14ac:dyDescent="0.25">
      <c r="B19" s="16"/>
      <c r="C19" s="37"/>
      <c r="D19" s="29"/>
      <c r="E19" s="16"/>
      <c r="F19" s="16"/>
      <c r="G19" s="16"/>
      <c r="H19" s="16"/>
      <c r="I19" s="16"/>
      <c r="J19" s="16"/>
      <c r="K19" s="16"/>
      <c r="L19" s="16"/>
      <c r="M19" s="16"/>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394"/>
      <c r="D24" s="99"/>
      <c r="E24" s="447" t="s">
        <v>331</v>
      </c>
      <c r="F24" s="447"/>
      <c r="G24" s="447"/>
      <c r="H24" s="447"/>
      <c r="I24" s="447"/>
      <c r="J24" s="447"/>
      <c r="K24" s="447"/>
      <c r="L24" s="447"/>
      <c r="M24" s="448"/>
    </row>
    <row r="25" spans="2:13" x14ac:dyDescent="0.25">
      <c r="B25" s="108" t="s">
        <v>332</v>
      </c>
      <c r="C25" s="137">
        <f>IF(C23="JA",IF(C24&lt;&gt;"",C21*C180/C176/C24,0),0)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IF(C23="JA",IF(C26=0,,C26*C180/C177),0)</f>
        <v>0</v>
      </c>
      <c r="D27" s="99" t="s">
        <v>333</v>
      </c>
      <c r="E27" s="447"/>
      <c r="F27" s="447"/>
      <c r="G27" s="447"/>
      <c r="H27" s="447"/>
      <c r="I27" s="447"/>
      <c r="J27" s="447"/>
      <c r="K27" s="447"/>
      <c r="L27" s="447"/>
      <c r="M27" s="448"/>
    </row>
    <row r="28" spans="2:13" x14ac:dyDescent="0.25">
      <c r="B28" s="96" t="s">
        <v>337</v>
      </c>
      <c r="C28" s="167">
        <v>10000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740</v>
      </c>
      <c r="D30" s="107" t="s">
        <v>340</v>
      </c>
      <c r="E30" s="451" t="s">
        <v>341</v>
      </c>
      <c r="F30" s="451"/>
      <c r="G30" s="451"/>
      <c r="H30" s="451"/>
      <c r="I30" s="451"/>
      <c r="J30" s="451"/>
      <c r="K30" s="451"/>
      <c r="L30" s="451"/>
      <c r="M30" s="452"/>
    </row>
    <row r="31" spans="2:13" x14ac:dyDescent="0.25">
      <c r="B31" s="16"/>
      <c r="C31" s="39"/>
      <c r="D31" s="2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395">
        <f>IF(C21&gt;0,C28/C21,IF(C28&gt;0,1,0))</f>
        <v>1</v>
      </c>
      <c r="D33" s="99"/>
      <c r="E33" s="447"/>
      <c r="F33" s="447"/>
      <c r="G33" s="447"/>
      <c r="H33" s="447"/>
      <c r="I33" s="447"/>
      <c r="J33" s="447"/>
      <c r="K33" s="447"/>
      <c r="L33" s="447"/>
      <c r="M33" s="448"/>
    </row>
    <row r="34" spans="2:13" x14ac:dyDescent="0.25">
      <c r="B34" s="96" t="s">
        <v>345</v>
      </c>
      <c r="C34" s="395">
        <f>IF(C28&gt;0,C33-C36*C33*(C26*C29)/(C28*C30),)</f>
        <v>1</v>
      </c>
      <c r="D34" s="99"/>
      <c r="E34" s="447"/>
      <c r="F34" s="447"/>
      <c r="G34" s="447"/>
      <c r="H34" s="447"/>
      <c r="I34" s="447"/>
      <c r="J34" s="447"/>
      <c r="K34" s="447"/>
      <c r="L34" s="447"/>
      <c r="M34" s="448"/>
    </row>
    <row r="35" spans="2:13" x14ac:dyDescent="0.25">
      <c r="B35" s="96" t="s">
        <v>346</v>
      </c>
      <c r="C35" s="396">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B37" s="16"/>
      <c r="C37" s="397"/>
      <c r="D37" s="29"/>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v>455</v>
      </c>
      <c r="D39" s="99" t="str">
        <f>CONCATENATE("Euro/",$C$8)</f>
        <v>Euro/kW</v>
      </c>
      <c r="E39" s="447" t="s">
        <v>352</v>
      </c>
      <c r="F39" s="447"/>
      <c r="G39" s="447"/>
      <c r="H39" s="447"/>
      <c r="I39" s="447"/>
      <c r="J39" s="447"/>
      <c r="K39" s="447"/>
      <c r="L39" s="447"/>
      <c r="M39" s="448"/>
    </row>
    <row r="40" spans="2:13" x14ac:dyDescent="0.25">
      <c r="B40" s="109" t="s">
        <v>353</v>
      </c>
      <c r="C40" s="160"/>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4.5841250000000002</v>
      </c>
      <c r="D41" s="99" t="s">
        <v>355</v>
      </c>
      <c r="E41" s="447"/>
      <c r="F41" s="447"/>
      <c r="G41" s="447"/>
      <c r="H41" s="447"/>
      <c r="I41" s="447"/>
      <c r="J41" s="447"/>
      <c r="K41" s="447"/>
      <c r="L41" s="447"/>
      <c r="M41" s="448"/>
    </row>
    <row r="42" spans="2:13" x14ac:dyDescent="0.25">
      <c r="B42" s="109" t="s">
        <v>356</v>
      </c>
      <c r="C42" s="165">
        <v>18.7</v>
      </c>
      <c r="D42" s="99" t="str">
        <f>CONCATENATE("Euro/",$C$8,"/jaar")</f>
        <v>Euro/kW/jaar</v>
      </c>
      <c r="E42" s="447" t="s">
        <v>357</v>
      </c>
      <c r="F42" s="447"/>
      <c r="G42" s="447"/>
      <c r="H42" s="447"/>
      <c r="I42" s="447"/>
      <c r="J42" s="447"/>
      <c r="K42" s="447"/>
      <c r="L42" s="447"/>
      <c r="M42" s="448"/>
    </row>
    <row r="43" spans="2:13" x14ac:dyDescent="0.25">
      <c r="B43" s="109" t="s">
        <v>358</v>
      </c>
      <c r="C43" s="165"/>
      <c r="D43" s="99" t="str">
        <f>CONCATENATE("Euro/",$C$8,"/jaar")</f>
        <v>Euro/kW/jaar</v>
      </c>
      <c r="E43" s="447" t="s">
        <v>357</v>
      </c>
      <c r="F43" s="447"/>
      <c r="G43" s="447"/>
      <c r="H43" s="447"/>
      <c r="I43" s="447"/>
      <c r="J43" s="447"/>
      <c r="K43" s="447"/>
      <c r="L43" s="447"/>
      <c r="M43" s="448"/>
    </row>
    <row r="44" spans="2:13" x14ac:dyDescent="0.25">
      <c r="B44" s="96" t="s">
        <v>359</v>
      </c>
      <c r="C44" s="398">
        <f>(C42*C21+C43*SUM(C26,C28))/1000</f>
        <v>187</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2.8999999999999998E-3</v>
      </c>
      <c r="D48" s="99" t="str">
        <f>CONCATENATE("Euro/",$C$7)</f>
        <v>Euro/kWh</v>
      </c>
      <c r="E48" s="447"/>
      <c r="F48" s="447"/>
      <c r="G48" s="447"/>
      <c r="H48" s="447"/>
      <c r="I48" s="447"/>
      <c r="J48" s="447"/>
      <c r="K48" s="447"/>
      <c r="L48" s="447"/>
      <c r="M48" s="448"/>
    </row>
    <row r="49" spans="2:13" x14ac:dyDescent="0.25">
      <c r="B49" s="97" t="s">
        <v>366</v>
      </c>
      <c r="C49" s="142">
        <f>SUM(C45:C48)</f>
        <v>2.8999999999999998E-3</v>
      </c>
      <c r="D49" s="107" t="str">
        <f>CONCATENATE("Euro/",$C$7)</f>
        <v>Euro/kWh</v>
      </c>
      <c r="E49" s="451"/>
      <c r="F49" s="451"/>
      <c r="G49" s="451"/>
      <c r="H49" s="451"/>
      <c r="I49" s="451"/>
      <c r="J49" s="451"/>
      <c r="K49" s="451"/>
      <c r="L49" s="451"/>
      <c r="M49" s="452"/>
    </row>
    <row r="50" spans="2:13" x14ac:dyDescent="0.25">
      <c r="B50" s="16"/>
      <c r="C50" s="397"/>
      <c r="D50" s="29"/>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IF(C52=0,,C21*MAX(C29,C30)*C180/C52/1000)</f>
        <v>0</v>
      </c>
      <c r="D53" s="99" t="s">
        <v>371</v>
      </c>
      <c r="E53" s="455"/>
      <c r="F53" s="455"/>
      <c r="G53" s="455"/>
      <c r="H53" s="455"/>
      <c r="I53" s="455"/>
      <c r="J53" s="455"/>
      <c r="K53" s="455"/>
      <c r="L53" s="455"/>
      <c r="M53" s="456"/>
    </row>
    <row r="54" spans="2:13" x14ac:dyDescent="0.25">
      <c r="B54" s="96" t="s">
        <v>372</v>
      </c>
      <c r="C54" s="399"/>
      <c r="D54" s="99" t="s">
        <v>373</v>
      </c>
      <c r="E54" s="447" t="s">
        <v>374</v>
      </c>
      <c r="F54" s="447"/>
      <c r="G54" s="447"/>
      <c r="H54" s="447"/>
      <c r="I54" s="447"/>
      <c r="J54" s="447"/>
      <c r="K54" s="447"/>
      <c r="L54" s="447"/>
      <c r="M54" s="448"/>
    </row>
    <row r="55" spans="2:13" x14ac:dyDescent="0.25">
      <c r="B55" s="96" t="s">
        <v>375</v>
      </c>
      <c r="C55" s="399"/>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399"/>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399"/>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B61" s="16"/>
      <c r="C61" s="397"/>
      <c r="D61" s="29"/>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400"/>
      <c r="D63" s="99" t="str">
        <f>IF(AND(C26&gt;0,C23=""),CONCATENATE("kg CO2/",$C$7),"kg CO2/kWh")</f>
        <v>kg CO2/kWh</v>
      </c>
      <c r="E63" s="447"/>
      <c r="F63" s="447"/>
      <c r="G63" s="447"/>
      <c r="H63" s="447"/>
      <c r="I63" s="447"/>
      <c r="J63" s="447"/>
      <c r="K63" s="447"/>
      <c r="L63" s="447"/>
      <c r="M63" s="448"/>
    </row>
    <row r="64" spans="2:13" x14ac:dyDescent="0.25">
      <c r="B64" s="96" t="s">
        <v>384</v>
      </c>
      <c r="C64" s="400">
        <v>4.8000000000000001E-2</v>
      </c>
      <c r="D64" s="99" t="str">
        <f>IF(C28&gt;0,CONCATENATE("kg CO2/",$C$7),"kg CO2/kWh")</f>
        <v>kg CO2/kWh</v>
      </c>
      <c r="E64" s="447"/>
      <c r="F64" s="447"/>
      <c r="G64" s="447"/>
      <c r="H64" s="447"/>
      <c r="I64" s="447"/>
      <c r="J64" s="447"/>
      <c r="K64" s="447"/>
      <c r="L64" s="447"/>
      <c r="M64" s="448"/>
    </row>
    <row r="65" spans="2:13" x14ac:dyDescent="0.25">
      <c r="B65" s="96" t="s">
        <v>385</v>
      </c>
      <c r="C65" s="400"/>
      <c r="D65" s="99" t="str">
        <f>IF(C23="Ja",CONCATENATE("kg CO2/",$C$7),"kg CO2/kWh")</f>
        <v>kg CO2/kWh</v>
      </c>
      <c r="E65" s="447"/>
      <c r="F65" s="447"/>
      <c r="G65" s="447"/>
      <c r="H65" s="447"/>
      <c r="I65" s="447"/>
      <c r="J65" s="447"/>
      <c r="K65" s="447"/>
      <c r="L65" s="447"/>
      <c r="M65" s="448"/>
    </row>
    <row r="66" spans="2:13" x14ac:dyDescent="0.25">
      <c r="B66" s="96" t="s">
        <v>386</v>
      </c>
      <c r="C66" s="399"/>
      <c r="D66" s="99" t="s">
        <v>387</v>
      </c>
      <c r="E66" s="447" t="s">
        <v>388</v>
      </c>
      <c r="F66" s="447"/>
      <c r="G66" s="447"/>
      <c r="H66" s="447"/>
      <c r="I66" s="447"/>
      <c r="J66" s="447"/>
      <c r="K66" s="447"/>
      <c r="L66" s="447"/>
      <c r="M66" s="448"/>
    </row>
    <row r="67" spans="2:13" x14ac:dyDescent="0.25">
      <c r="B67" s="96" t="s">
        <v>389</v>
      </c>
      <c r="C67" s="401"/>
      <c r="D67" s="99" t="s">
        <v>390</v>
      </c>
      <c r="E67" s="447"/>
      <c r="F67" s="447"/>
      <c r="G67" s="447"/>
      <c r="H67" s="447"/>
      <c r="I67" s="447"/>
      <c r="J67" s="447"/>
      <c r="K67" s="447"/>
      <c r="L67" s="447"/>
      <c r="M67" s="448"/>
    </row>
    <row r="68" spans="2:13" x14ac:dyDescent="0.25">
      <c r="B68" s="96" t="s">
        <v>391</v>
      </c>
      <c r="C68" s="401"/>
      <c r="D68" s="99" t="s">
        <v>390</v>
      </c>
      <c r="E68" s="447"/>
      <c r="F68" s="447"/>
      <c r="G68" s="447"/>
      <c r="H68" s="447"/>
      <c r="I68" s="447"/>
      <c r="J68" s="447"/>
      <c r="K68" s="447"/>
      <c r="L68" s="447"/>
      <c r="M68" s="448"/>
    </row>
    <row r="69" spans="2:13" x14ac:dyDescent="0.25">
      <c r="B69" s="96" t="s">
        <v>392</v>
      </c>
      <c r="C69" s="401"/>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6.2899999999999998E-2</v>
      </c>
      <c r="D70" s="107" t="str">
        <f>CONCATENATE("kg CO2/",$C$7)</f>
        <v>kg CO2/kWh</v>
      </c>
      <c r="E70" s="451"/>
      <c r="F70" s="451"/>
      <c r="G70" s="451"/>
      <c r="H70" s="451"/>
      <c r="I70" s="451"/>
      <c r="J70" s="451"/>
      <c r="K70" s="451"/>
      <c r="L70" s="451"/>
      <c r="M70" s="452"/>
    </row>
    <row r="71" spans="2:13" x14ac:dyDescent="0.25">
      <c r="B71" s="16"/>
      <c r="C71" s="397"/>
      <c r="D71" s="29"/>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40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B78" s="16"/>
      <c r="C78" s="397"/>
      <c r="D78" s="29"/>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03">
        <v>5.45E-2</v>
      </c>
      <c r="D80" s="99" t="s">
        <v>406</v>
      </c>
      <c r="E80" s="447" t="s">
        <v>407</v>
      </c>
      <c r="F80" s="447"/>
      <c r="G80" s="447"/>
      <c r="H80" s="447"/>
      <c r="I80" s="447"/>
      <c r="J80" s="447"/>
      <c r="K80" s="447"/>
      <c r="L80" s="447"/>
      <c r="M80" s="448"/>
    </row>
    <row r="81" spans="2:13" x14ac:dyDescent="0.25">
      <c r="B81" s="96" t="s">
        <v>408</v>
      </c>
      <c r="C81" s="399">
        <v>690</v>
      </c>
      <c r="D81" s="99" t="s">
        <v>340</v>
      </c>
      <c r="E81" s="447"/>
      <c r="F81" s="447"/>
      <c r="G81" s="447"/>
      <c r="H81" s="447"/>
      <c r="I81" s="447"/>
      <c r="J81" s="447"/>
      <c r="K81" s="447"/>
      <c r="L81" s="447"/>
      <c r="M81" s="448"/>
    </row>
    <row r="82" spans="2:13" x14ac:dyDescent="0.25">
      <c r="B82" s="96" t="s">
        <v>410</v>
      </c>
      <c r="C82" s="403"/>
      <c r="D82" s="99" t="s">
        <v>406</v>
      </c>
      <c r="E82" s="447"/>
      <c r="F82" s="447"/>
      <c r="G82" s="447"/>
      <c r="H82" s="447"/>
      <c r="I82" s="447"/>
      <c r="J82" s="447"/>
      <c r="K82" s="447"/>
      <c r="L82" s="447"/>
      <c r="M82" s="448"/>
    </row>
    <row r="83" spans="2:13" x14ac:dyDescent="0.25">
      <c r="B83" s="96" t="s">
        <v>411</v>
      </c>
      <c r="C83" s="399"/>
      <c r="D83" s="99" t="s">
        <v>340</v>
      </c>
      <c r="E83" s="447"/>
      <c r="F83" s="447"/>
      <c r="G83" s="447"/>
      <c r="H83" s="447"/>
      <c r="I83" s="447"/>
      <c r="J83" s="447"/>
      <c r="K83" s="447"/>
      <c r="L83" s="447"/>
      <c r="M83" s="448"/>
    </row>
    <row r="84" spans="2:13" x14ac:dyDescent="0.25">
      <c r="B84" s="96" t="s">
        <v>412</v>
      </c>
      <c r="C84" s="404">
        <f>SUM(E118:INDEX(E118:AR118,1,C76))</f>
        <v>111000000</v>
      </c>
      <c r="D84" s="98" t="str">
        <f>C7</f>
        <v>kWh</v>
      </c>
      <c r="E84" s="447"/>
      <c r="F84" s="447"/>
      <c r="G84" s="447"/>
      <c r="H84" s="447"/>
      <c r="I84" s="447"/>
      <c r="J84" s="447"/>
      <c r="K84" s="447"/>
      <c r="L84" s="447"/>
      <c r="M84" s="448"/>
    </row>
    <row r="85" spans="2:13" x14ac:dyDescent="0.25">
      <c r="B85" s="113" t="s">
        <v>413</v>
      </c>
      <c r="C85" s="404">
        <f>IF(C77=0,SUM(E118:INDEX(E118:AR118,1,C73)),SUM(E118:INDEX(E118:AR118,1,C77)))</f>
        <v>145500000</v>
      </c>
      <c r="D85" s="98" t="str">
        <f>C7</f>
        <v>kWh</v>
      </c>
      <c r="E85" s="447"/>
      <c r="F85" s="447"/>
      <c r="G85" s="447"/>
      <c r="H85" s="447"/>
      <c r="I85" s="447"/>
      <c r="J85" s="447"/>
      <c r="K85" s="447"/>
      <c r="L85" s="447"/>
      <c r="M85" s="448"/>
    </row>
    <row r="86" spans="2:13" x14ac:dyDescent="0.25">
      <c r="B86" s="114" t="s">
        <v>414</v>
      </c>
      <c r="C86" s="146">
        <f>C85/C84</f>
        <v>1.3108108108108107</v>
      </c>
      <c r="D86" s="107"/>
      <c r="E86" s="451"/>
      <c r="F86" s="451"/>
      <c r="G86" s="451"/>
      <c r="H86" s="451"/>
      <c r="I86" s="451"/>
      <c r="J86" s="451"/>
      <c r="K86" s="451"/>
      <c r="L86" s="451"/>
      <c r="M86" s="452"/>
    </row>
    <row r="87" spans="2:13" x14ac:dyDescent="0.25">
      <c r="B87" s="16"/>
      <c r="C87" s="397"/>
      <c r="D87" s="29"/>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05">
        <v>0.04</v>
      </c>
      <c r="D90" s="99"/>
      <c r="E90" s="447"/>
      <c r="F90" s="447"/>
      <c r="G90" s="447"/>
      <c r="H90" s="447"/>
      <c r="I90" s="447"/>
      <c r="J90" s="447"/>
      <c r="K90" s="447"/>
      <c r="L90" s="447"/>
      <c r="M90" s="448"/>
    </row>
    <row r="91" spans="2:13" x14ac:dyDescent="0.25">
      <c r="B91" s="96" t="s">
        <v>418</v>
      </c>
      <c r="C91" s="405">
        <v>6.5000000000000002E-2</v>
      </c>
      <c r="D91" s="99"/>
      <c r="E91" s="447"/>
      <c r="F91" s="447"/>
      <c r="G91" s="447"/>
      <c r="H91" s="447"/>
      <c r="I91" s="447"/>
      <c r="J91" s="447"/>
      <c r="K91" s="447"/>
      <c r="L91" s="447"/>
      <c r="M91" s="448"/>
    </row>
    <row r="92" spans="2:13" x14ac:dyDescent="0.25">
      <c r="B92" s="112" t="s">
        <v>419</v>
      </c>
      <c r="C92" s="396">
        <f>100%-C93</f>
        <v>0.75</v>
      </c>
      <c r="D92" s="99"/>
      <c r="E92" s="447"/>
      <c r="F92" s="447"/>
      <c r="G92" s="447"/>
      <c r="H92" s="447"/>
      <c r="I92" s="447"/>
      <c r="J92" s="447"/>
      <c r="K92" s="447"/>
      <c r="L92" s="447"/>
      <c r="M92" s="448"/>
    </row>
    <row r="93" spans="2:13" x14ac:dyDescent="0.25">
      <c r="B93" s="96" t="s">
        <v>420</v>
      </c>
      <c r="C93" s="406">
        <v>0.25</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B95" s="16"/>
      <c r="C95" s="397"/>
      <c r="D95" s="29"/>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A97" s="16"/>
      <c r="B97" s="96" t="s">
        <v>423</v>
      </c>
      <c r="C97" s="48"/>
      <c r="D97" s="99" t="s">
        <v>424</v>
      </c>
      <c r="E97" s="447"/>
      <c r="F97" s="447"/>
      <c r="G97" s="447"/>
      <c r="H97" s="447"/>
      <c r="I97" s="447"/>
      <c r="J97" s="447"/>
      <c r="K97" s="447"/>
      <c r="L97" s="447"/>
      <c r="M97" s="448"/>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row>
    <row r="98" spans="1:44" x14ac:dyDescent="0.25">
      <c r="A98" s="16"/>
      <c r="B98" s="97" t="s">
        <v>425</v>
      </c>
      <c r="C98" s="49"/>
      <c r="D98" s="107" t="s">
        <v>424</v>
      </c>
      <c r="E98" s="451"/>
      <c r="F98" s="451"/>
      <c r="G98" s="451"/>
      <c r="H98" s="451"/>
      <c r="I98" s="451"/>
      <c r="J98" s="451"/>
      <c r="K98" s="451"/>
      <c r="L98" s="451"/>
      <c r="M98" s="452"/>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row>
    <row r="99" spans="1:44" x14ac:dyDescent="0.25">
      <c r="A99" s="16"/>
      <c r="B99" s="16"/>
      <c r="C99" s="397"/>
      <c r="D99" s="29"/>
      <c r="E99" s="40"/>
      <c r="F99" s="40"/>
      <c r="G99" s="40"/>
      <c r="H99" s="40"/>
      <c r="I99" s="40"/>
      <c r="J99" s="40"/>
      <c r="K99" s="40"/>
      <c r="L99" s="40"/>
      <c r="M99" s="40"/>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row>
    <row r="100" spans="1:44" x14ac:dyDescent="0.25">
      <c r="A100" s="16"/>
      <c r="B100" s="102" t="s">
        <v>426</v>
      </c>
      <c r="C100" s="103" t="s">
        <v>79</v>
      </c>
      <c r="D100" s="103"/>
      <c r="E100" s="445" t="s">
        <v>63</v>
      </c>
      <c r="F100" s="445"/>
      <c r="G100" s="445"/>
      <c r="H100" s="445"/>
      <c r="I100" s="445"/>
      <c r="J100" s="445"/>
      <c r="K100" s="445"/>
      <c r="L100" s="445"/>
      <c r="M100" s="44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row>
    <row r="101" spans="1:44" x14ac:dyDescent="0.25">
      <c r="A101" s="16"/>
      <c r="B101" s="108" t="s">
        <v>79</v>
      </c>
      <c r="C101" s="407">
        <v>13</v>
      </c>
      <c r="D101" s="408">
        <v>-130000</v>
      </c>
      <c r="E101" s="447" t="s">
        <v>504</v>
      </c>
      <c r="F101" s="447"/>
      <c r="G101" s="447"/>
      <c r="H101" s="447"/>
      <c r="I101" s="447"/>
      <c r="J101" s="447"/>
      <c r="K101" s="447"/>
      <c r="L101" s="447"/>
      <c r="M101" s="448"/>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row>
    <row r="102" spans="1:44" x14ac:dyDescent="0.25">
      <c r="A102" s="16"/>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row>
    <row r="103" spans="1:44" s="16" customFormat="1" x14ac:dyDescent="0.25">
      <c r="B103" s="108" t="s">
        <v>428</v>
      </c>
      <c r="C103" s="359"/>
      <c r="D103" s="99"/>
      <c r="E103" s="284" t="s">
        <v>429</v>
      </c>
      <c r="F103" s="284"/>
      <c r="G103" s="284"/>
      <c r="H103" s="284"/>
      <c r="I103" s="284"/>
      <c r="J103" s="284"/>
      <c r="K103" s="284"/>
      <c r="L103" s="284"/>
      <c r="M103" s="285"/>
    </row>
    <row r="104" spans="1:44" x14ac:dyDescent="0.25">
      <c r="A104" s="16"/>
      <c r="B104" s="114" t="s">
        <v>430</v>
      </c>
      <c r="C104" s="50">
        <v>0</v>
      </c>
      <c r="D104" s="175">
        <v>0.01</v>
      </c>
      <c r="E104" s="451" t="s">
        <v>431</v>
      </c>
      <c r="F104" s="451"/>
      <c r="G104" s="451"/>
      <c r="H104" s="451"/>
      <c r="I104" s="451"/>
      <c r="J104" s="451"/>
      <c r="K104" s="451"/>
      <c r="L104" s="451"/>
      <c r="M104" s="452"/>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row>
    <row r="105" spans="1:44" x14ac:dyDescent="0.25">
      <c r="A105" s="16"/>
      <c r="B105" s="16"/>
      <c r="C105" s="29"/>
      <c r="D105" s="29"/>
      <c r="E105" s="51"/>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row>
    <row r="106" spans="1:44" s="353" customFormat="1" x14ac:dyDescent="0.25">
      <c r="A106" s="16"/>
      <c r="B106" s="102" t="s">
        <v>432</v>
      </c>
      <c r="C106" s="103"/>
      <c r="D106" s="103" t="s">
        <v>136</v>
      </c>
      <c r="E106" s="103">
        <f>Colofon!C29</f>
        <v>2025</v>
      </c>
      <c r="F106" s="103">
        <f t="shared" ref="F106:AR106" si="0">E106+1</f>
        <v>2026</v>
      </c>
      <c r="G106" s="103">
        <f t="shared" si="0"/>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354" customFormat="1" ht="13.5" customHeight="1" x14ac:dyDescent="0.35">
      <c r="A107" s="53"/>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354" customFormat="1" ht="13.5" customHeight="1" x14ac:dyDescent="0.35">
      <c r="A108" s="53"/>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A109" s="16"/>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c r="A110" s="16"/>
      <c r="B110" s="16"/>
      <c r="C110" s="29"/>
      <c r="D110" s="29"/>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row>
    <row r="111" spans="1:44" ht="13" x14ac:dyDescent="0.25">
      <c r="A111" s="16"/>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A112" s="16"/>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-4584125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7400000</v>
      </c>
      <c r="F115" s="379">
        <f t="shared" si="4"/>
        <v>7400000</v>
      </c>
      <c r="G115" s="379">
        <f t="shared" si="4"/>
        <v>7400000</v>
      </c>
      <c r="H115" s="379">
        <f t="shared" si="4"/>
        <v>7400000</v>
      </c>
      <c r="I115" s="379">
        <f t="shared" si="4"/>
        <v>7400000</v>
      </c>
      <c r="J115" s="379">
        <f t="shared" si="4"/>
        <v>7400000</v>
      </c>
      <c r="K115" s="379">
        <f t="shared" si="4"/>
        <v>7400000</v>
      </c>
      <c r="L115" s="379">
        <f t="shared" si="4"/>
        <v>7400000</v>
      </c>
      <c r="M115" s="379">
        <f t="shared" si="4"/>
        <v>7400000</v>
      </c>
      <c r="N115" s="379">
        <f t="shared" si="4"/>
        <v>7400000</v>
      </c>
      <c r="O115" s="379">
        <f t="shared" si="4"/>
        <v>7400000</v>
      </c>
      <c r="P115" s="379">
        <f t="shared" si="4"/>
        <v>7400000</v>
      </c>
      <c r="Q115" s="379">
        <f t="shared" si="4"/>
        <v>7400000</v>
      </c>
      <c r="R115" s="379">
        <f t="shared" si="4"/>
        <v>7400000</v>
      </c>
      <c r="S115" s="379">
        <f t="shared" si="4"/>
        <v>7400000</v>
      </c>
      <c r="T115" s="379">
        <f t="shared" si="4"/>
        <v>6900000</v>
      </c>
      <c r="U115" s="379">
        <f t="shared" si="4"/>
        <v>6900000</v>
      </c>
      <c r="V115" s="379">
        <f t="shared" si="4"/>
        <v>6900000</v>
      </c>
      <c r="W115" s="379">
        <f t="shared" si="4"/>
        <v>6900000</v>
      </c>
      <c r="X115" s="379">
        <f t="shared" si="4"/>
        <v>6900000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IF(OR(E112&gt;$C$73,$C$23&lt;&gt;"JA"),0,$C$26*$C$29*$C$183/$C$182)</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 t="shared" ref="E118:AR118" si="7">SUM(E115:E117)</f>
        <v>7400000</v>
      </c>
      <c r="F118" s="150">
        <f t="shared" si="7"/>
        <v>7400000</v>
      </c>
      <c r="G118" s="150">
        <f t="shared" si="7"/>
        <v>7400000</v>
      </c>
      <c r="H118" s="150">
        <f t="shared" si="7"/>
        <v>7400000</v>
      </c>
      <c r="I118" s="150">
        <f t="shared" si="7"/>
        <v>7400000</v>
      </c>
      <c r="J118" s="150">
        <f t="shared" si="7"/>
        <v>7400000</v>
      </c>
      <c r="K118" s="150">
        <f t="shared" si="7"/>
        <v>7400000</v>
      </c>
      <c r="L118" s="150">
        <f t="shared" si="7"/>
        <v>7400000</v>
      </c>
      <c r="M118" s="150">
        <f t="shared" si="7"/>
        <v>7400000</v>
      </c>
      <c r="N118" s="150">
        <f t="shared" si="7"/>
        <v>7400000</v>
      </c>
      <c r="O118" s="150">
        <f t="shared" si="7"/>
        <v>7400000</v>
      </c>
      <c r="P118" s="150">
        <f t="shared" si="7"/>
        <v>7400000</v>
      </c>
      <c r="Q118" s="150">
        <f t="shared" si="7"/>
        <v>7400000</v>
      </c>
      <c r="R118" s="150">
        <f t="shared" si="7"/>
        <v>7400000</v>
      </c>
      <c r="S118" s="150">
        <f t="shared" si="7"/>
        <v>7400000</v>
      </c>
      <c r="T118" s="150">
        <f t="shared" si="7"/>
        <v>6900000</v>
      </c>
      <c r="U118" s="150">
        <f t="shared" si="7"/>
        <v>6900000</v>
      </c>
      <c r="V118" s="150">
        <f t="shared" si="7"/>
        <v>6900000</v>
      </c>
      <c r="W118" s="150">
        <f t="shared" si="7"/>
        <v>6900000</v>
      </c>
      <c r="X118" s="150">
        <f t="shared" si="7"/>
        <v>6900000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-208460</v>
      </c>
      <c r="F120" s="379">
        <f t="shared" ref="F120:AR120" si="8">IF(F112&gt;$C$73,0,-F109*(($C$42*$C$21+$C$43*SUM($C$26,$C$28))+F118*$C$49))+IF($C$101=F112,$D$101*F109,0)+IF($C$102=F112,$D$102*F109,0)+IF($C$103=F112,$D$103*F109,0)</f>
        <v>-212629.2</v>
      </c>
      <c r="G120" s="379">
        <f t="shared" si="8"/>
        <v>-216881.78399999999</v>
      </c>
      <c r="H120" s="379">
        <f t="shared" si="8"/>
        <v>-221219.41967999999</v>
      </c>
      <c r="I120" s="379">
        <f t="shared" si="8"/>
        <v>-225643.8080736</v>
      </c>
      <c r="J120" s="379">
        <f t="shared" si="8"/>
        <v>-230156.684235072</v>
      </c>
      <c r="K120" s="379">
        <f t="shared" si="8"/>
        <v>-234759.81791977346</v>
      </c>
      <c r="L120" s="379">
        <f t="shared" si="8"/>
        <v>-239455.01427816888</v>
      </c>
      <c r="M120" s="379">
        <f t="shared" si="8"/>
        <v>-244244.11456373226</v>
      </c>
      <c r="N120" s="379">
        <f t="shared" si="8"/>
        <v>-249128.9968550069</v>
      </c>
      <c r="O120" s="379">
        <f t="shared" si="8"/>
        <v>-254111.57679210708</v>
      </c>
      <c r="P120" s="379">
        <f t="shared" si="8"/>
        <v>-259193.80832794917</v>
      </c>
      <c r="Q120" s="379">
        <f t="shared" si="8"/>
        <v>-429249.11778763909</v>
      </c>
      <c r="R120" s="379">
        <f t="shared" si="8"/>
        <v>-269665.23818439833</v>
      </c>
      <c r="S120" s="379">
        <f t="shared" si="8"/>
        <v>-275058.54294808634</v>
      </c>
      <c r="T120" s="379">
        <f t="shared" si="8"/>
        <v>-278608.20471647801</v>
      </c>
      <c r="U120" s="379">
        <f t="shared" si="8"/>
        <v>-284180.36881080759</v>
      </c>
      <c r="V120" s="379">
        <f t="shared" si="8"/>
        <v>-289863.9761870238</v>
      </c>
      <c r="W120" s="379">
        <f t="shared" si="8"/>
        <v>-295661.25571076421</v>
      </c>
      <c r="X120" s="379">
        <f t="shared" si="8"/>
        <v>-301574.48082497949</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-E109*$C$54/$C$52*$C$21*MAX($C$29,$C$30)*$C$184/1000)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7.3349824438665043E-2</v>
      </c>
      <c r="U122" s="382">
        <f t="shared" si="10"/>
        <v>7.4816820927438354E-2</v>
      </c>
      <c r="V122" s="382">
        <f t="shared" si="10"/>
        <v>7.6313157345987134E-2</v>
      </c>
      <c r="W122" s="382">
        <f t="shared" si="10"/>
        <v>7.7839420492906861E-2</v>
      </c>
      <c r="X122" s="382">
        <f t="shared" si="10"/>
        <v>7.9396208902764998E-2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 t="shared" ref="E126:AR126" si="14">MAX(0,E125-E124)*E118</f>
        <v>0</v>
      </c>
      <c r="F126" s="379">
        <f t="shared" si="14"/>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506113.78862678877</v>
      </c>
      <c r="U127" s="379">
        <f t="shared" si="15"/>
        <v>516236.06439932465</v>
      </c>
      <c r="V127" s="379">
        <f t="shared" si="15"/>
        <v>526560.7856873112</v>
      </c>
      <c r="W127" s="379">
        <f t="shared" si="15"/>
        <v>537092.00140105735</v>
      </c>
      <c r="X127" s="379">
        <f t="shared" si="15"/>
        <v>547833.84142907849</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 t="shared" ref="E128:AR128" si="16">E124*E118</f>
        <v>0</v>
      </c>
      <c r="F128" s="379">
        <f t="shared" si="16"/>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S124*S118</f>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A129" s="16"/>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A130" s="16"/>
      <c r="B130" s="118" t="s">
        <v>456</v>
      </c>
      <c r="C130" s="373" t="s">
        <v>424</v>
      </c>
      <c r="D130" s="373"/>
      <c r="E130" s="379">
        <f t="shared" ref="E130:AR130" si="17">SUM(E126:E128)</f>
        <v>0</v>
      </c>
      <c r="F130" s="379">
        <f t="shared" si="17"/>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506113.78862678877</v>
      </c>
      <c r="U130" s="379">
        <f t="shared" si="17"/>
        <v>516236.06439932465</v>
      </c>
      <c r="V130" s="379">
        <f t="shared" si="17"/>
        <v>526560.7856873112</v>
      </c>
      <c r="W130" s="379">
        <f t="shared" si="17"/>
        <v>537092.00140105735</v>
      </c>
      <c r="X130" s="379">
        <f t="shared" si="17"/>
        <v>547833.84142907849</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A131" s="16"/>
      <c r="B131" s="118" t="s">
        <v>457</v>
      </c>
      <c r="C131" s="373" t="s">
        <v>424</v>
      </c>
      <c r="D131" s="373"/>
      <c r="E131" s="379">
        <f t="shared" ref="E131:AR131" si="18">SUM(E120:E121)</f>
        <v>-208460</v>
      </c>
      <c r="F131" s="379">
        <f t="shared" si="18"/>
        <v>-212629.2</v>
      </c>
      <c r="G131" s="379">
        <f t="shared" si="18"/>
        <v>-216881.78399999999</v>
      </c>
      <c r="H131" s="379">
        <f t="shared" si="18"/>
        <v>-221219.41967999999</v>
      </c>
      <c r="I131" s="379">
        <f t="shared" si="18"/>
        <v>-225643.8080736</v>
      </c>
      <c r="J131" s="379">
        <f t="shared" si="18"/>
        <v>-230156.684235072</v>
      </c>
      <c r="K131" s="379">
        <f t="shared" si="18"/>
        <v>-234759.81791977346</v>
      </c>
      <c r="L131" s="379">
        <f t="shared" si="18"/>
        <v>-239455.01427816888</v>
      </c>
      <c r="M131" s="379">
        <f t="shared" si="18"/>
        <v>-244244.11456373226</v>
      </c>
      <c r="N131" s="379">
        <f t="shared" si="18"/>
        <v>-249128.9968550069</v>
      </c>
      <c r="O131" s="379">
        <f t="shared" si="18"/>
        <v>-254111.57679210708</v>
      </c>
      <c r="P131" s="379">
        <f t="shared" si="18"/>
        <v>-259193.80832794917</v>
      </c>
      <c r="Q131" s="379">
        <f t="shared" si="18"/>
        <v>-429249.11778763909</v>
      </c>
      <c r="R131" s="379">
        <f t="shared" si="18"/>
        <v>-269665.23818439833</v>
      </c>
      <c r="S131" s="379">
        <f t="shared" si="18"/>
        <v>-275058.54294808634</v>
      </c>
      <c r="T131" s="379">
        <f t="shared" si="18"/>
        <v>-278608.20471647801</v>
      </c>
      <c r="U131" s="379">
        <f t="shared" si="18"/>
        <v>-284180.36881080759</v>
      </c>
      <c r="V131" s="379">
        <f t="shared" si="18"/>
        <v>-289863.9761870238</v>
      </c>
      <c r="W131" s="379">
        <f t="shared" si="18"/>
        <v>-295661.25571076421</v>
      </c>
      <c r="X131" s="379">
        <f t="shared" si="18"/>
        <v>-301574.48082497949</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A132" s="16"/>
      <c r="B132" s="149" t="s">
        <v>458</v>
      </c>
      <c r="C132" s="381" t="s">
        <v>424</v>
      </c>
      <c r="D132" s="385"/>
      <c r="E132" s="386">
        <f t="shared" ref="E132:AR132" si="19">SUM(E130:E131)</f>
        <v>-208460</v>
      </c>
      <c r="F132" s="386">
        <f t="shared" si="19"/>
        <v>-212629.2</v>
      </c>
      <c r="G132" s="386">
        <f t="shared" si="19"/>
        <v>-216881.78399999999</v>
      </c>
      <c r="H132" s="386">
        <f t="shared" si="19"/>
        <v>-221219.41967999999</v>
      </c>
      <c r="I132" s="386">
        <f t="shared" si="19"/>
        <v>-225643.8080736</v>
      </c>
      <c r="J132" s="386">
        <f t="shared" si="19"/>
        <v>-230156.684235072</v>
      </c>
      <c r="K132" s="386">
        <f t="shared" si="19"/>
        <v>-234759.81791977346</v>
      </c>
      <c r="L132" s="386">
        <f t="shared" si="19"/>
        <v>-239455.01427816888</v>
      </c>
      <c r="M132" s="386">
        <f t="shared" si="19"/>
        <v>-244244.11456373226</v>
      </c>
      <c r="N132" s="386">
        <f t="shared" si="19"/>
        <v>-249128.9968550069</v>
      </c>
      <c r="O132" s="386">
        <f t="shared" si="19"/>
        <v>-254111.57679210708</v>
      </c>
      <c r="P132" s="386">
        <f t="shared" si="19"/>
        <v>-259193.80832794917</v>
      </c>
      <c r="Q132" s="386">
        <f t="shared" si="19"/>
        <v>-429249.11778763909</v>
      </c>
      <c r="R132" s="386">
        <f t="shared" si="19"/>
        <v>-269665.23818439833</v>
      </c>
      <c r="S132" s="386">
        <f t="shared" si="19"/>
        <v>-275058.54294808634</v>
      </c>
      <c r="T132" s="386">
        <f t="shared" si="19"/>
        <v>227505.58391031076</v>
      </c>
      <c r="U132" s="386">
        <f t="shared" si="19"/>
        <v>232055.69558851706</v>
      </c>
      <c r="V132" s="386">
        <f t="shared" si="19"/>
        <v>236696.8095002874</v>
      </c>
      <c r="W132" s="386">
        <f t="shared" si="19"/>
        <v>241430.74569029314</v>
      </c>
      <c r="X132" s="386">
        <f t="shared" si="19"/>
        <v>246259.360604099</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A133" s="16"/>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A134" s="16"/>
      <c r="B134" s="118" t="s">
        <v>460</v>
      </c>
      <c r="C134" s="373" t="s">
        <v>424</v>
      </c>
      <c r="D134" s="373"/>
      <c r="E134" s="379">
        <f t="shared" ref="E134:AR134" si="20">IF(E112&gt;$C$75,0,-$C$152/$C$75)</f>
        <v>-305608.33333333331</v>
      </c>
      <c r="F134" s="379">
        <f t="shared" si="20"/>
        <v>-305608.33333333331</v>
      </c>
      <c r="G134" s="379">
        <f t="shared" si="20"/>
        <v>-305608.33333333331</v>
      </c>
      <c r="H134" s="379">
        <f t="shared" si="20"/>
        <v>-305608.33333333331</v>
      </c>
      <c r="I134" s="379">
        <f t="shared" si="20"/>
        <v>-305608.33333333331</v>
      </c>
      <c r="J134" s="379">
        <f t="shared" si="20"/>
        <v>-305608.33333333331</v>
      </c>
      <c r="K134" s="379">
        <f t="shared" si="20"/>
        <v>-305608.33333333331</v>
      </c>
      <c r="L134" s="379">
        <f t="shared" si="20"/>
        <v>-305608.33333333331</v>
      </c>
      <c r="M134" s="379">
        <f t="shared" si="20"/>
        <v>-305608.33333333331</v>
      </c>
      <c r="N134" s="379">
        <f t="shared" si="20"/>
        <v>-305608.33333333331</v>
      </c>
      <c r="O134" s="379">
        <f t="shared" si="20"/>
        <v>-305608.33333333331</v>
      </c>
      <c r="P134" s="379">
        <f t="shared" si="20"/>
        <v>-305608.33333333331</v>
      </c>
      <c r="Q134" s="379">
        <f t="shared" si="20"/>
        <v>-305608.33333333331</v>
      </c>
      <c r="R134" s="379">
        <f t="shared" si="20"/>
        <v>-305608.33333333331</v>
      </c>
      <c r="S134" s="379">
        <f t="shared" si="20"/>
        <v>-305608.33333333331</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A135" s="16"/>
      <c r="B135" s="118" t="s">
        <v>461</v>
      </c>
      <c r="C135" s="373" t="s">
        <v>424</v>
      </c>
      <c r="D135" s="373"/>
      <c r="E135" s="379">
        <f t="shared" ref="E135:AR135" si="21">IF(E112&gt;$C$74,0,IPMT($C$90,E112,$C$74,$C$157))</f>
        <v>-137523.75</v>
      </c>
      <c r="F135" s="379">
        <f t="shared" si="21"/>
        <v>-130655.66259785736</v>
      </c>
      <c r="G135" s="379">
        <f t="shared" si="21"/>
        <v>-123512.85169962906</v>
      </c>
      <c r="H135" s="379">
        <f t="shared" si="21"/>
        <v>-116084.32836547156</v>
      </c>
      <c r="I135" s="379">
        <f t="shared" si="21"/>
        <v>-108358.66409794781</v>
      </c>
      <c r="J135" s="379">
        <f t="shared" si="21"/>
        <v>-100323.97325972309</v>
      </c>
      <c r="K135" s="379">
        <f t="shared" si="21"/>
        <v>-91967.894787969388</v>
      </c>
      <c r="L135" s="379">
        <f t="shared" si="21"/>
        <v>-83277.573177345548</v>
      </c>
      <c r="M135" s="379">
        <f t="shared" si="21"/>
        <v>-74239.638702296754</v>
      </c>
      <c r="N135" s="379">
        <f t="shared" si="21"/>
        <v>-64840.18684824599</v>
      </c>
      <c r="O135" s="379">
        <f t="shared" si="21"/>
        <v>-55064.756920033207</v>
      </c>
      <c r="P135" s="379">
        <f t="shared" si="21"/>
        <v>-44898.309794691915</v>
      </c>
      <c r="Q135" s="379">
        <f t="shared" si="21"/>
        <v>-34325.204784336966</v>
      </c>
      <c r="R135" s="379">
        <f t="shared" si="21"/>
        <v>-23329.17557356782</v>
      </c>
      <c r="S135" s="379">
        <f t="shared" si="21"/>
        <v>-11893.305194367909</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A136" s="16"/>
      <c r="B136" s="118" t="s">
        <v>462</v>
      </c>
      <c r="C136" s="373" t="s">
        <v>424</v>
      </c>
      <c r="D136" s="373"/>
      <c r="E136" s="379">
        <f t="shared" ref="E136:AR136" si="22">IF(E112&gt;$C$74,0,PPMT($C$90,E112,$C$74,$C$157))</f>
        <v>-171702.18505356566</v>
      </c>
      <c r="F136" s="379">
        <f t="shared" si="22"/>
        <v>-178570.27245570824</v>
      </c>
      <c r="G136" s="379">
        <f t="shared" si="22"/>
        <v>-185713.08335393656</v>
      </c>
      <c r="H136" s="379">
        <f t="shared" si="22"/>
        <v>-193141.60668809406</v>
      </c>
      <c r="I136" s="379">
        <f t="shared" si="22"/>
        <v>-200867.2709556178</v>
      </c>
      <c r="J136" s="379">
        <f t="shared" si="22"/>
        <v>-208901.96179384249</v>
      </c>
      <c r="K136" s="379">
        <f t="shared" si="22"/>
        <v>-217258.04026559621</v>
      </c>
      <c r="L136" s="379">
        <f t="shared" si="22"/>
        <v>-225948.36187622003</v>
      </c>
      <c r="M136" s="379">
        <f t="shared" si="22"/>
        <v>-234986.29635126889</v>
      </c>
      <c r="N136" s="379">
        <f t="shared" si="22"/>
        <v>-244385.7482053196</v>
      </c>
      <c r="O136" s="379">
        <f t="shared" si="22"/>
        <v>-254161.1781335324</v>
      </c>
      <c r="P136" s="379">
        <f t="shared" si="22"/>
        <v>-264327.62525887368</v>
      </c>
      <c r="Q136" s="379">
        <f t="shared" si="22"/>
        <v>-274900.73026922863</v>
      </c>
      <c r="R136" s="379">
        <f t="shared" si="22"/>
        <v>-285896.7594799978</v>
      </c>
      <c r="S136" s="379">
        <f t="shared" si="22"/>
        <v>-297332.62985919771</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355" customFormat="1" ht="13" x14ac:dyDescent="0.3">
      <c r="A137" s="16"/>
      <c r="B137" s="149" t="s">
        <v>463</v>
      </c>
      <c r="C137" s="381" t="s">
        <v>424</v>
      </c>
      <c r="D137" s="381"/>
      <c r="E137" s="386">
        <f t="shared" ref="E137:AR137" si="23">SUM(E135,E136)</f>
        <v>-309225.93505356566</v>
      </c>
      <c r="F137" s="386">
        <f t="shared" si="23"/>
        <v>-309225.9350535656</v>
      </c>
      <c r="G137" s="386">
        <f t="shared" si="23"/>
        <v>-309225.9350535656</v>
      </c>
      <c r="H137" s="386">
        <f t="shared" si="23"/>
        <v>-309225.93505356566</v>
      </c>
      <c r="I137" s="386">
        <f t="shared" si="23"/>
        <v>-309225.9350535656</v>
      </c>
      <c r="J137" s="386">
        <f t="shared" si="23"/>
        <v>-309225.9350535656</v>
      </c>
      <c r="K137" s="386">
        <f t="shared" si="23"/>
        <v>-309225.9350535656</v>
      </c>
      <c r="L137" s="386">
        <f t="shared" si="23"/>
        <v>-309225.9350535656</v>
      </c>
      <c r="M137" s="386">
        <f t="shared" si="23"/>
        <v>-309225.93505356566</v>
      </c>
      <c r="N137" s="386">
        <f t="shared" si="23"/>
        <v>-309225.9350535656</v>
      </c>
      <c r="O137" s="386">
        <f t="shared" si="23"/>
        <v>-309225.9350535656</v>
      </c>
      <c r="P137" s="386">
        <f t="shared" si="23"/>
        <v>-309225.9350535656</v>
      </c>
      <c r="Q137" s="386">
        <f t="shared" si="23"/>
        <v>-309225.9350535656</v>
      </c>
      <c r="R137" s="386">
        <f t="shared" si="23"/>
        <v>-309225.9350535656</v>
      </c>
      <c r="S137" s="386">
        <f t="shared" si="23"/>
        <v>-309225.9350535656</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A138" s="16"/>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A139" s="16"/>
      <c r="B139" s="118" t="s">
        <v>465</v>
      </c>
      <c r="C139" s="373" t="s">
        <v>424</v>
      </c>
      <c r="D139" s="373"/>
      <c r="E139" s="379">
        <f t="shared" ref="E139:AR139" si="24">E132+E134+E135</f>
        <v>-651592.08333333326</v>
      </c>
      <c r="F139" s="379">
        <f t="shared" si="24"/>
        <v>-648893.19593119062</v>
      </c>
      <c r="G139" s="379">
        <f t="shared" si="24"/>
        <v>-646002.96903296234</v>
      </c>
      <c r="H139" s="379">
        <f t="shared" si="24"/>
        <v>-642912.08137880487</v>
      </c>
      <c r="I139" s="379">
        <f t="shared" si="24"/>
        <v>-639610.80550488108</v>
      </c>
      <c r="J139" s="379">
        <f t="shared" si="24"/>
        <v>-636088.9908281283</v>
      </c>
      <c r="K139" s="379">
        <f t="shared" si="24"/>
        <v>-632336.04604107619</v>
      </c>
      <c r="L139" s="379">
        <f t="shared" si="24"/>
        <v>-628340.92078884772</v>
      </c>
      <c r="M139" s="379">
        <f t="shared" si="24"/>
        <v>-624092.08659936232</v>
      </c>
      <c r="N139" s="379">
        <f t="shared" si="24"/>
        <v>-619577.5170365863</v>
      </c>
      <c r="O139" s="379">
        <f t="shared" si="24"/>
        <v>-614784.6670454737</v>
      </c>
      <c r="P139" s="379">
        <f t="shared" si="24"/>
        <v>-609700.45145597449</v>
      </c>
      <c r="Q139" s="379">
        <f t="shared" si="24"/>
        <v>-769182.65590530937</v>
      </c>
      <c r="R139" s="379">
        <f t="shared" si="24"/>
        <v>-598602.7470912995</v>
      </c>
      <c r="S139" s="379">
        <f t="shared" si="24"/>
        <v>-592560.18147578754</v>
      </c>
      <c r="T139" s="379">
        <f t="shared" si="24"/>
        <v>227505.58391031076</v>
      </c>
      <c r="U139" s="379">
        <f t="shared" si="24"/>
        <v>232055.69558851706</v>
      </c>
      <c r="V139" s="379">
        <f t="shared" si="24"/>
        <v>236696.8095002874</v>
      </c>
      <c r="W139" s="379">
        <f t="shared" si="24"/>
        <v>241430.74569029314</v>
      </c>
      <c r="X139" s="379">
        <f t="shared" si="24"/>
        <v>246259.360604099</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A140" s="16"/>
      <c r="B140" s="118" t="s">
        <v>466</v>
      </c>
      <c r="C140" s="373" t="s">
        <v>424</v>
      </c>
      <c r="D140" s="373"/>
      <c r="E140" s="379">
        <f t="shared" ref="E140:AR140" si="25">-$C$94*E139</f>
        <v>123802.49583333332</v>
      </c>
      <c r="F140" s="379">
        <f t="shared" si="25"/>
        <v>123289.70722692621</v>
      </c>
      <c r="G140" s="379">
        <f t="shared" si="25"/>
        <v>122740.56411626285</v>
      </c>
      <c r="H140" s="379">
        <f t="shared" si="25"/>
        <v>122153.29546197293</v>
      </c>
      <c r="I140" s="379">
        <f t="shared" si="25"/>
        <v>121526.0530459274</v>
      </c>
      <c r="J140" s="379">
        <f t="shared" si="25"/>
        <v>120856.90825734437</v>
      </c>
      <c r="K140" s="379">
        <f t="shared" si="25"/>
        <v>120143.84874780447</v>
      </c>
      <c r="L140" s="379">
        <f t="shared" si="25"/>
        <v>119384.77494988107</v>
      </c>
      <c r="M140" s="379">
        <f t="shared" si="25"/>
        <v>118577.49645387885</v>
      </c>
      <c r="N140" s="379">
        <f t="shared" si="25"/>
        <v>117719.7282369514</v>
      </c>
      <c r="O140" s="379">
        <f t="shared" si="25"/>
        <v>116809.08673864001</v>
      </c>
      <c r="P140" s="379">
        <f t="shared" si="25"/>
        <v>115843.08577663515</v>
      </c>
      <c r="Q140" s="379">
        <f t="shared" si="25"/>
        <v>146144.70462200878</v>
      </c>
      <c r="R140" s="379">
        <f t="shared" si="25"/>
        <v>113734.5219473469</v>
      </c>
      <c r="S140" s="379">
        <f t="shared" si="25"/>
        <v>112586.43448039964</v>
      </c>
      <c r="T140" s="379">
        <f t="shared" si="25"/>
        <v>-43226.060942959048</v>
      </c>
      <c r="U140" s="379">
        <f t="shared" si="25"/>
        <v>-44090.582161818245</v>
      </c>
      <c r="V140" s="379">
        <f t="shared" si="25"/>
        <v>-44972.393805054606</v>
      </c>
      <c r="W140" s="379">
        <f t="shared" si="25"/>
        <v>-45871.841681155696</v>
      </c>
      <c r="X140" s="379">
        <f t="shared" si="25"/>
        <v>-46789.278514778809</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A141" s="16"/>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A142" s="16"/>
      <c r="B142" s="149" t="s">
        <v>468</v>
      </c>
      <c r="C142" s="381" t="s">
        <v>424</v>
      </c>
      <c r="D142" s="381"/>
      <c r="E142" s="386">
        <f t="shared" ref="E142:AR142" si="26">E132+E137+E140</f>
        <v>-393883.43922023231</v>
      </c>
      <c r="F142" s="386">
        <f t="shared" si="26"/>
        <v>-398565.42782663938</v>
      </c>
      <c r="G142" s="386">
        <f t="shared" si="26"/>
        <v>-403367.15493730269</v>
      </c>
      <c r="H142" s="386">
        <f t="shared" si="26"/>
        <v>-408292.05927159265</v>
      </c>
      <c r="I142" s="386">
        <f t="shared" si="26"/>
        <v>-413343.69008123816</v>
      </c>
      <c r="J142" s="386">
        <f t="shared" si="26"/>
        <v>-418525.71103129315</v>
      </c>
      <c r="K142" s="386">
        <f t="shared" si="26"/>
        <v>-423841.90422553458</v>
      </c>
      <c r="L142" s="386">
        <f t="shared" si="26"/>
        <v>-429296.17438185337</v>
      </c>
      <c r="M142" s="386">
        <f t="shared" si="26"/>
        <v>-434892.55316341913</v>
      </c>
      <c r="N142" s="386">
        <f t="shared" si="26"/>
        <v>-440635.20367162116</v>
      </c>
      <c r="O142" s="386">
        <f t="shared" si="26"/>
        <v>-446528.42510703276</v>
      </c>
      <c r="P142" s="386">
        <f t="shared" si="26"/>
        <v>-452576.65760487964</v>
      </c>
      <c r="Q142" s="386">
        <f t="shared" si="26"/>
        <v>-592330.34821919585</v>
      </c>
      <c r="R142" s="386">
        <f t="shared" si="26"/>
        <v>-465156.65129061701</v>
      </c>
      <c r="S142" s="386">
        <f t="shared" si="26"/>
        <v>-471698.04352125229</v>
      </c>
      <c r="T142" s="386">
        <f t="shared" si="26"/>
        <v>184279.52296735172</v>
      </c>
      <c r="U142" s="386">
        <f t="shared" si="26"/>
        <v>187965.11342669881</v>
      </c>
      <c r="V142" s="386">
        <f t="shared" si="26"/>
        <v>191724.4156952328</v>
      </c>
      <c r="W142" s="386">
        <f t="shared" si="26"/>
        <v>195558.90400913745</v>
      </c>
      <c r="X142" s="386">
        <f t="shared" si="26"/>
        <v>199470.08208932017</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A143" s="16"/>
      <c r="B143" s="118" t="s">
        <v>469</v>
      </c>
      <c r="C143" s="373" t="s">
        <v>424</v>
      </c>
      <c r="D143" s="384">
        <f>-SUM(C157:C158)</f>
        <v>-4584125</v>
      </c>
      <c r="E143" s="379">
        <f t="shared" ref="E143:AR143" si="27">E132+E140</f>
        <v>-84657.50416666668</v>
      </c>
      <c r="F143" s="379">
        <f t="shared" si="27"/>
        <v>-89339.492773073798</v>
      </c>
      <c r="G143" s="379">
        <f t="shared" si="27"/>
        <v>-94141.21988373714</v>
      </c>
      <c r="H143" s="379">
        <f t="shared" si="27"/>
        <v>-99066.124218027064</v>
      </c>
      <c r="I143" s="379">
        <f t="shared" si="27"/>
        <v>-104117.7550276726</v>
      </c>
      <c r="J143" s="379">
        <f t="shared" si="27"/>
        <v>-109299.77597772762</v>
      </c>
      <c r="K143" s="379">
        <f t="shared" si="27"/>
        <v>-114615.96917196899</v>
      </c>
      <c r="L143" s="379">
        <f t="shared" si="27"/>
        <v>-120070.2393282878</v>
      </c>
      <c r="M143" s="379">
        <f t="shared" si="27"/>
        <v>-125666.61810985341</v>
      </c>
      <c r="N143" s="379">
        <f t="shared" si="27"/>
        <v>-131409.2686180555</v>
      </c>
      <c r="O143" s="379">
        <f t="shared" si="27"/>
        <v>-137302.49005346707</v>
      </c>
      <c r="P143" s="379">
        <f t="shared" si="27"/>
        <v>-143350.72255131401</v>
      </c>
      <c r="Q143" s="379">
        <f t="shared" si="27"/>
        <v>-283104.41316563031</v>
      </c>
      <c r="R143" s="379">
        <f t="shared" si="27"/>
        <v>-155930.71623705141</v>
      </c>
      <c r="S143" s="379">
        <f t="shared" si="27"/>
        <v>-162472.10846768669</v>
      </c>
      <c r="T143" s="379">
        <f t="shared" si="27"/>
        <v>184279.52296735172</v>
      </c>
      <c r="U143" s="379">
        <f t="shared" si="27"/>
        <v>187965.11342669881</v>
      </c>
      <c r="V143" s="379">
        <f t="shared" si="27"/>
        <v>191724.4156952328</v>
      </c>
      <c r="W143" s="379">
        <f t="shared" si="27"/>
        <v>195558.90400913745</v>
      </c>
      <c r="X143" s="379">
        <f t="shared" si="27"/>
        <v>199470.08208932017</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A144" s="16"/>
      <c r="B144" s="118" t="s">
        <v>470</v>
      </c>
      <c r="C144" s="373" t="s">
        <v>424</v>
      </c>
      <c r="D144" s="384">
        <f>-C158</f>
        <v>-1146031.25</v>
      </c>
      <c r="E144" s="379">
        <f t="shared" ref="E144:AR144" si="28">E142</f>
        <v>-393883.43922023231</v>
      </c>
      <c r="F144" s="379">
        <f t="shared" si="28"/>
        <v>-398565.42782663938</v>
      </c>
      <c r="G144" s="379">
        <f t="shared" si="28"/>
        <v>-403367.15493730269</v>
      </c>
      <c r="H144" s="379">
        <f t="shared" si="28"/>
        <v>-408292.05927159265</v>
      </c>
      <c r="I144" s="379">
        <f t="shared" si="28"/>
        <v>-413343.69008123816</v>
      </c>
      <c r="J144" s="379">
        <f t="shared" si="28"/>
        <v>-418525.71103129315</v>
      </c>
      <c r="K144" s="379">
        <f t="shared" si="28"/>
        <v>-423841.90422553458</v>
      </c>
      <c r="L144" s="379">
        <f t="shared" si="28"/>
        <v>-429296.17438185337</v>
      </c>
      <c r="M144" s="379">
        <f t="shared" si="28"/>
        <v>-434892.55316341913</v>
      </c>
      <c r="N144" s="379">
        <f t="shared" si="28"/>
        <v>-440635.20367162116</v>
      </c>
      <c r="O144" s="379">
        <f t="shared" si="28"/>
        <v>-446528.42510703276</v>
      </c>
      <c r="P144" s="379">
        <f t="shared" si="28"/>
        <v>-452576.65760487964</v>
      </c>
      <c r="Q144" s="379">
        <f t="shared" si="28"/>
        <v>-592330.34821919585</v>
      </c>
      <c r="R144" s="379">
        <f t="shared" si="28"/>
        <v>-465156.65129061701</v>
      </c>
      <c r="S144" s="379">
        <f t="shared" si="28"/>
        <v>-471698.04352125229</v>
      </c>
      <c r="T144" s="379">
        <f t="shared" si="28"/>
        <v>184279.52296735172</v>
      </c>
      <c r="U144" s="379">
        <f t="shared" si="28"/>
        <v>187965.11342669881</v>
      </c>
      <c r="V144" s="379">
        <f t="shared" si="28"/>
        <v>191724.4156952328</v>
      </c>
      <c r="W144" s="379">
        <f t="shared" si="28"/>
        <v>195558.90400913745</v>
      </c>
      <c r="X144" s="379">
        <f t="shared" si="28"/>
        <v>199470.08208932017</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A145" s="16"/>
      <c r="B145" s="118" t="s">
        <v>471</v>
      </c>
      <c r="C145" s="378" t="str">
        <f>$C$7</f>
        <v>kWh</v>
      </c>
      <c r="D145" s="373"/>
      <c r="E145" s="379">
        <f t="shared" ref="E145:AR145" si="29">IF(E112&gt;$C$76,0,E118)</f>
        <v>7400000</v>
      </c>
      <c r="F145" s="379">
        <f t="shared" si="29"/>
        <v>7400000</v>
      </c>
      <c r="G145" s="379">
        <f t="shared" si="29"/>
        <v>7400000</v>
      </c>
      <c r="H145" s="379">
        <f t="shared" si="29"/>
        <v>7400000</v>
      </c>
      <c r="I145" s="379">
        <f t="shared" si="29"/>
        <v>7400000</v>
      </c>
      <c r="J145" s="379">
        <f t="shared" si="29"/>
        <v>7400000</v>
      </c>
      <c r="K145" s="379">
        <f t="shared" si="29"/>
        <v>7400000</v>
      </c>
      <c r="L145" s="379">
        <f t="shared" si="29"/>
        <v>7400000</v>
      </c>
      <c r="M145" s="379">
        <f t="shared" si="29"/>
        <v>7400000</v>
      </c>
      <c r="N145" s="379">
        <f t="shared" si="29"/>
        <v>7400000</v>
      </c>
      <c r="O145" s="379">
        <f t="shared" si="29"/>
        <v>7400000</v>
      </c>
      <c r="P145" s="379">
        <f t="shared" si="29"/>
        <v>7400000</v>
      </c>
      <c r="Q145" s="379">
        <f t="shared" si="29"/>
        <v>7400000</v>
      </c>
      <c r="R145" s="379">
        <f t="shared" si="29"/>
        <v>7400000</v>
      </c>
      <c r="S145" s="379">
        <f t="shared" si="29"/>
        <v>7400000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A146" s="16"/>
      <c r="B146" s="122" t="s">
        <v>472</v>
      </c>
      <c r="C146" s="373" t="s">
        <v>424</v>
      </c>
      <c r="D146" s="123">
        <f>-D113</f>
        <v>4584125</v>
      </c>
      <c r="E146" s="123">
        <f t="shared" ref="E146:AR146" si="30">IF(E112&lt;=$C76,D146-($C$5*E118+E132+E135),D146-(E132+E135))</f>
        <v>4288528.75</v>
      </c>
      <c r="F146" s="123">
        <f t="shared" si="30"/>
        <v>3990233.6125978576</v>
      </c>
      <c r="G146" s="123">
        <f t="shared" si="30"/>
        <v>3689048.2482974865</v>
      </c>
      <c r="H146" s="123">
        <f t="shared" si="30"/>
        <v>3384771.996342958</v>
      </c>
      <c r="I146" s="123">
        <f t="shared" si="30"/>
        <v>3077194.4685145058</v>
      </c>
      <c r="J146" s="123">
        <f t="shared" si="30"/>
        <v>2766095.1260093008</v>
      </c>
      <c r="K146" s="123">
        <f t="shared" si="30"/>
        <v>2451242.8387170434</v>
      </c>
      <c r="L146" s="123">
        <f t="shared" si="30"/>
        <v>2132395.4261725578</v>
      </c>
      <c r="M146" s="123">
        <f t="shared" si="30"/>
        <v>1809299.1794385868</v>
      </c>
      <c r="N146" s="123">
        <f t="shared" si="30"/>
        <v>1481688.3631418396</v>
      </c>
      <c r="O146" s="123">
        <f t="shared" si="30"/>
        <v>1149284.69685398</v>
      </c>
      <c r="P146" s="123">
        <f t="shared" si="30"/>
        <v>811796.81497662095</v>
      </c>
      <c r="Q146" s="123">
        <f t="shared" si="30"/>
        <v>633791.13754859706</v>
      </c>
      <c r="R146" s="123">
        <f t="shared" si="30"/>
        <v>285205.5513065632</v>
      </c>
      <c r="S146" s="123">
        <f t="shared" si="30"/>
        <v>-69422.600550982577</v>
      </c>
      <c r="T146" s="123">
        <f t="shared" si="30"/>
        <v>-296928.18446129333</v>
      </c>
      <c r="U146" s="123">
        <f t="shared" si="30"/>
        <v>-528983.8800498104</v>
      </c>
      <c r="V146" s="123">
        <f t="shared" si="30"/>
        <v>-765680.6895500978</v>
      </c>
      <c r="W146" s="123">
        <f t="shared" si="30"/>
        <v>-1007111.4352403909</v>
      </c>
      <c r="X146" s="123">
        <f t="shared" si="30"/>
        <v>-1253370.7958444899</v>
      </c>
      <c r="Y146" s="123">
        <f t="shared" si="30"/>
        <v>-1253370.7958444899</v>
      </c>
      <c r="Z146" s="123">
        <f t="shared" si="30"/>
        <v>-1253370.7958444899</v>
      </c>
      <c r="AA146" s="123">
        <f t="shared" si="30"/>
        <v>-1253370.7958444899</v>
      </c>
      <c r="AB146" s="123">
        <f t="shared" si="30"/>
        <v>-1253370.7958444899</v>
      </c>
      <c r="AC146" s="123">
        <f t="shared" si="30"/>
        <v>-1253370.7958444899</v>
      </c>
      <c r="AD146" s="123">
        <f t="shared" si="30"/>
        <v>-1253370.7958444899</v>
      </c>
      <c r="AE146" s="123">
        <f t="shared" si="30"/>
        <v>-1253370.7958444899</v>
      </c>
      <c r="AF146" s="123">
        <f t="shared" si="30"/>
        <v>-1253370.7958444899</v>
      </c>
      <c r="AG146" s="123">
        <f t="shared" si="30"/>
        <v>-1253370.7958444899</v>
      </c>
      <c r="AH146" s="123">
        <f t="shared" si="30"/>
        <v>-1253370.7958444899</v>
      </c>
      <c r="AI146" s="123">
        <f t="shared" si="30"/>
        <v>-1253370.7958444899</v>
      </c>
      <c r="AJ146" s="123">
        <f t="shared" si="30"/>
        <v>-1253370.7958444899</v>
      </c>
      <c r="AK146" s="123">
        <f t="shared" si="30"/>
        <v>-1253370.7958444899</v>
      </c>
      <c r="AL146" s="123">
        <f t="shared" si="30"/>
        <v>-1253370.7958444899</v>
      </c>
      <c r="AM146" s="123">
        <f t="shared" si="30"/>
        <v>-1253370.7958444899</v>
      </c>
      <c r="AN146" s="123">
        <f t="shared" si="30"/>
        <v>-1253370.7958444899</v>
      </c>
      <c r="AO146" s="123">
        <f t="shared" si="30"/>
        <v>-1253370.7958444899</v>
      </c>
      <c r="AP146" s="123">
        <f t="shared" si="30"/>
        <v>-1253370.7958444899</v>
      </c>
      <c r="AQ146" s="123">
        <f t="shared" si="30"/>
        <v>-1253370.7958444899</v>
      </c>
      <c r="AR146" s="387">
        <f t="shared" si="30"/>
        <v>-1253370.7958444899</v>
      </c>
    </row>
    <row r="147" spans="1:44" ht="13" thickBot="1" x14ac:dyDescent="0.3">
      <c r="A147" s="16"/>
      <c r="B147" s="124" t="s">
        <v>473</v>
      </c>
      <c r="C147" s="125"/>
      <c r="D147" s="125"/>
      <c r="E147" s="126">
        <f t="shared" ref="E147:AR147" si="31">IF(E112&gt;$C$74,"",(-$C$94*(E139+$C$5*E118)+E132+$C$5*E118)/-E137)</f>
        <v>1.4068105114080309</v>
      </c>
      <c r="F147" s="126">
        <f t="shared" si="31"/>
        <v>1.3916695155352368</v>
      </c>
      <c r="G147" s="126">
        <f t="shared" si="31"/>
        <v>1.376141299540574</v>
      </c>
      <c r="H147" s="126">
        <f t="shared" si="31"/>
        <v>1.3602147430134286</v>
      </c>
      <c r="I147" s="126">
        <f t="shared" si="31"/>
        <v>1.3438783680946482</v>
      </c>
      <c r="J147" s="126">
        <f t="shared" si="31"/>
        <v>1.3271203269259559</v>
      </c>
      <c r="K147" s="126">
        <f t="shared" si="31"/>
        <v>1.3099283886322923</v>
      </c>
      <c r="L147" s="126">
        <f t="shared" si="31"/>
        <v>1.2922899258190936</v>
      </c>
      <c r="M147" s="126">
        <f t="shared" si="31"/>
        <v>1.2741919005658231</v>
      </c>
      <c r="N147" s="126">
        <f t="shared" si="31"/>
        <v>1.2556208498963271</v>
      </c>
      <c r="O147" s="126">
        <f t="shared" si="31"/>
        <v>1.2365628707058343</v>
      </c>
      <c r="P147" s="126">
        <f t="shared" si="31"/>
        <v>1.2170036041236207</v>
      </c>
      <c r="Q147" s="126">
        <f t="shared" si="31"/>
        <v>0.76505674335947582</v>
      </c>
      <c r="R147" s="126">
        <f t="shared" si="31"/>
        <v>1.1763213965217316</v>
      </c>
      <c r="S147" s="126">
        <f t="shared" si="31"/>
        <v>1.1551673098520538</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409"/>
      <c r="F148" s="409"/>
      <c r="G148" s="409"/>
      <c r="H148" s="409"/>
      <c r="I148" s="409"/>
      <c r="J148" s="409"/>
      <c r="K148" s="409"/>
      <c r="L148" s="409"/>
      <c r="M148" s="409"/>
      <c r="N148" s="409"/>
      <c r="O148" s="409"/>
      <c r="P148" s="409"/>
      <c r="Q148" s="409"/>
      <c r="R148" s="409"/>
      <c r="S148" s="409"/>
      <c r="T148" s="409"/>
      <c r="U148" s="409"/>
      <c r="V148" s="409"/>
      <c r="W148" s="409"/>
      <c r="X148" s="409"/>
      <c r="Y148" s="409"/>
      <c r="Z148" s="409"/>
      <c r="AA148" s="409"/>
      <c r="AB148" s="409"/>
      <c r="AC148" s="409"/>
      <c r="AD148" s="409"/>
      <c r="AE148" s="409"/>
      <c r="AF148" s="409"/>
      <c r="AG148" s="409"/>
      <c r="AH148" s="409"/>
      <c r="AI148" s="409"/>
      <c r="AJ148" s="409"/>
      <c r="AK148" s="409"/>
      <c r="AL148" s="409"/>
      <c r="AM148" s="409"/>
      <c r="AN148" s="409"/>
      <c r="AO148" s="409"/>
      <c r="AP148" s="409"/>
      <c r="AQ148" s="409"/>
      <c r="AR148" s="409"/>
    </row>
    <row r="149" spans="1:44" ht="13" x14ac:dyDescent="0.25">
      <c r="A149" s="16"/>
      <c r="B149" s="134" t="s">
        <v>474</v>
      </c>
      <c r="C149" s="103" t="s">
        <v>79</v>
      </c>
      <c r="D149" s="128" t="s">
        <v>136</v>
      </c>
      <c r="E149" s="56"/>
      <c r="F149" s="56"/>
      <c r="G149" s="56"/>
      <c r="H149" s="56"/>
      <c r="I149" s="56"/>
      <c r="J149" s="56"/>
      <c r="K149" s="56"/>
      <c r="L149" s="56"/>
      <c r="M149" s="5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row>
    <row r="150" spans="1:44" x14ac:dyDescent="0.25">
      <c r="A150" s="16"/>
      <c r="B150" s="26" t="s">
        <v>475</v>
      </c>
      <c r="C150" s="153">
        <f>NPV($C$91,E142:AR142)</f>
        <v>-3738718.9577020453</v>
      </c>
      <c r="D150" s="57" t="s">
        <v>476</v>
      </c>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row>
    <row r="151" spans="1:44" x14ac:dyDescent="0.25">
      <c r="A151" s="16"/>
      <c r="B151" s="26" t="s">
        <v>477</v>
      </c>
      <c r="C151" s="153">
        <f>(1-$C$94)*NPV($C$91,E145:AR145)</f>
        <v>56359597.115282513</v>
      </c>
      <c r="D151" s="58" t="str">
        <f>$C$7</f>
        <v>kWh</v>
      </c>
      <c r="E151" s="16"/>
      <c r="F151" s="59"/>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row>
    <row r="152" spans="1:44" x14ac:dyDescent="0.25">
      <c r="A152" s="16"/>
      <c r="B152" s="26" t="s">
        <v>478</v>
      </c>
      <c r="C152" s="153">
        <f>$C$41*1000000</f>
        <v>4584125</v>
      </c>
      <c r="D152" s="57" t="s">
        <v>424</v>
      </c>
      <c r="E152" s="16"/>
      <c r="F152" s="60"/>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row>
    <row r="153" spans="1:44" x14ac:dyDescent="0.25">
      <c r="A153" s="16"/>
      <c r="B153" s="26" t="s">
        <v>479</v>
      </c>
      <c r="C153" s="154">
        <f>AVERAGE(E147:AR147)</f>
        <v>1.2591985169329416</v>
      </c>
      <c r="D153" s="57"/>
      <c r="E153" s="16"/>
      <c r="F153" s="60"/>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row>
    <row r="154" spans="1:44" x14ac:dyDescent="0.25">
      <c r="A154" s="16"/>
      <c r="B154" s="26" t="s">
        <v>480</v>
      </c>
      <c r="C154" s="155" t="str">
        <f>CONCATENATE(ROUND(((1-$C$94)*$C$90*$C$92+$C$93*$C$91)*100,1),"% / ",ROUND((((1+(1-$C$94)*$C$90*$C$92+$C$93*$C$91)/(1+$C$89))-1)*100,1),"%")</f>
        <v>4.1% / 2%</v>
      </c>
      <c r="D154" s="57"/>
      <c r="E154" s="16"/>
      <c r="F154" s="59"/>
      <c r="G154" s="61"/>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row>
    <row r="155" spans="1:44" x14ac:dyDescent="0.25">
      <c r="A155" s="16"/>
      <c r="B155" s="26" t="s">
        <v>481</v>
      </c>
      <c r="C155" s="156">
        <f>IFERROR(IRR(D143:AR143),"n.v.t.")</f>
        <v>-0.13441203128508361</v>
      </c>
      <c r="D155" s="57"/>
      <c r="E155" s="16"/>
      <c r="F155" s="60"/>
      <c r="G155" s="61"/>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row>
    <row r="156" spans="1:44" x14ac:dyDescent="0.25">
      <c r="A156" s="16"/>
      <c r="B156" s="26" t="s">
        <v>482</v>
      </c>
      <c r="C156" s="156" t="str">
        <f>IFERROR(IRR(D144:AR144),"n.v.t.")</f>
        <v>n.v.t.</v>
      </c>
      <c r="D156" s="57"/>
      <c r="E156" s="16"/>
      <c r="F156" s="16"/>
      <c r="G156" s="61"/>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row>
    <row r="157" spans="1:44" x14ac:dyDescent="0.25">
      <c r="A157" s="16"/>
      <c r="B157" s="38" t="s">
        <v>483</v>
      </c>
      <c r="C157" s="153">
        <f>$C$92*C152-C97</f>
        <v>3438093.75</v>
      </c>
      <c r="D157" s="57" t="s">
        <v>424</v>
      </c>
      <c r="E157" s="16"/>
      <c r="F157" s="35"/>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row>
    <row r="158" spans="1:44" x14ac:dyDescent="0.25">
      <c r="A158" s="16"/>
      <c r="B158" s="38" t="s">
        <v>484</v>
      </c>
      <c r="C158" s="153">
        <f>$C$93*C152-C98</f>
        <v>1146031.25</v>
      </c>
      <c r="D158" s="57" t="s">
        <v>424</v>
      </c>
      <c r="E158" s="16"/>
      <c r="F158" s="35"/>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row>
    <row r="159" spans="1:44" x14ac:dyDescent="0.25">
      <c r="A159" s="16"/>
      <c r="B159" s="38" t="s">
        <v>223</v>
      </c>
      <c r="C159" s="157">
        <f>IF(AND(E115&gt;0,E116&gt;0),ROUND(E116/E115,2),0)</f>
        <v>0</v>
      </c>
      <c r="D159" s="62" t="s">
        <v>485</v>
      </c>
      <c r="E159" s="16"/>
      <c r="F159" s="35"/>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row>
    <row r="160" spans="1:44" x14ac:dyDescent="0.25">
      <c r="A160" s="16"/>
      <c r="B160" s="38" t="s">
        <v>486</v>
      </c>
      <c r="C160" s="158">
        <f>IF(C159=0,MAX(C29:C30),E118/SUM(C26,C28))</f>
        <v>740</v>
      </c>
      <c r="D160" s="57" t="s">
        <v>340</v>
      </c>
      <c r="E160" s="16"/>
      <c r="F160" s="35"/>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row>
    <row r="161" spans="2:44" x14ac:dyDescent="0.25">
      <c r="B161" s="43" t="s">
        <v>487</v>
      </c>
      <c r="C161" s="461" t="str">
        <f>CONCATENATE( "tussen ", INDEX(D112:X112, MATCH(0,D146:X146, -1)), " en ",  1 + INDEX(D112:X112, MATCH(0,D146:X146, -1)), " jaar")</f>
        <v>tussen 14 en 15 jaar</v>
      </c>
      <c r="D161" s="462"/>
      <c r="E161" s="16"/>
      <c r="F161" s="63"/>
      <c r="G161" s="51"/>
      <c r="H161" s="16"/>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333" t="s">
        <v>46</v>
      </c>
      <c r="C164" s="419" t="str">
        <f>IF($C12="","","")</f>
        <v/>
      </c>
      <c r="D164" s="334" t="str">
        <f t="shared" ref="D164:D174" si="32">CONCATENATE("Euro/",$C$7)</f>
        <v>Euro/kWh</v>
      </c>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row>
    <row r="165" spans="2:44" ht="14.65" customHeight="1" x14ac:dyDescent="0.25">
      <c r="B165" s="65" t="s">
        <v>489</v>
      </c>
      <c r="C165" s="345" t="str">
        <f>IF(C15&gt;0,C166&amp;" / "&amp;C167,ROUND(VLOOKUP($C12,Correcties!$A$4:$H$10,8),3))</f>
        <v>0.035 / 0.074</v>
      </c>
      <c r="D165" s="57" t="str">
        <f t="shared" si="32"/>
        <v>Euro/kWh</v>
      </c>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row>
    <row r="166" spans="2:44" x14ac:dyDescent="0.25">
      <c r="B166" s="26" t="s">
        <v>490</v>
      </c>
      <c r="C166" s="140">
        <f>IFERROR(ROUND(INDEX(Correcties!$A$1:$I$10,MATCH(C15,Correcties!$A$1:$A$10,0),8),decimalen),"n.v.t.")</f>
        <v>3.5000000000000003E-2</v>
      </c>
      <c r="D166" s="57" t="str">
        <f t="shared" si="32"/>
        <v>Euro/kWh</v>
      </c>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row>
    <row r="167" spans="2:44" s="356" customFormat="1" x14ac:dyDescent="0.25">
      <c r="B167" s="27" t="s">
        <v>33</v>
      </c>
      <c r="C167" s="343">
        <f>IFERROR(ROUND(INDEX(Correcties!$A$1:$I$11,MATCH(C16,Correcties!$A$1:$A$11,0),8),decimalen),"n.v.t.")</f>
        <v>7.3999999999999996E-2</v>
      </c>
      <c r="D167" s="66" t="str">
        <f t="shared" si="32"/>
        <v>Euro/kWh</v>
      </c>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row>
    <row r="168" spans="2:44" s="356" customFormat="1" x14ac:dyDescent="0.25">
      <c r="B168" s="93" t="s">
        <v>491</v>
      </c>
      <c r="C168" s="342" t="str">
        <f>IF(C16&gt;0,"netlevering: "&amp;ROUND(VLOOKUP($C$15,Correcties!$A$4:$M$11,6,FALSE),decimalen)&amp;", niet-netlevering: "&amp;ROUND(VLOOKUP($C$16,Correcties!$A$4:$M$11,6,FALSE),decimalen))</f>
        <v>netlevering: 0.052, niet-netlevering: 0.091</v>
      </c>
      <c r="D168" s="94" t="str">
        <f t="shared" si="32"/>
        <v>Euro/kWh</v>
      </c>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row>
    <row r="169" spans="2:44" s="356" customFormat="1" x14ac:dyDescent="0.25">
      <c r="B169" s="26" t="str">
        <f>"Voorlopig correctiebedrag "&amp;Colofon!$C$29</f>
        <v>Voorlopig correctiebedrag 2025</v>
      </c>
      <c r="C169" s="140" t="str">
        <f>IF(C16&gt;0,"netlevering: "&amp;ROUND(VLOOKUP($C$15,Correcties!$A$4:$M$11,4,FALSE),decimalen)&amp;", niet-netlevering: "&amp;ROUND(VLOOKUP($C$16,Correcties!$A$4:$M$11,4),decimalen))</f>
        <v>netlevering: 0.053, niet-netlevering: 0.093</v>
      </c>
      <c r="D169" s="57" t="str">
        <f t="shared" si="32"/>
        <v>Euro/kWh</v>
      </c>
      <c r="E169" s="10"/>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356" customFormat="1" x14ac:dyDescent="0.25">
      <c r="B170" s="95" t="str">
        <f>"Voorlopige GvO-waarde "&amp;Colofon!$C$29</f>
        <v>Voorlopige GvO-waarde 2025</v>
      </c>
      <c r="C170" s="342" t="str">
        <f>IF(C16&gt;0,"netlevering: "&amp;ROUND(VLOOKUP($C$15,Correcties!$A$4:$M$11,12,FALSE),decimalen)&amp;", niet-netlevering: "&amp;ROUND(VLOOKUP($C$16,Correcties!$A$4:$M$11,12,FALSE),decimalen))</f>
        <v>netlevering: 0.004, niet-netlevering: 0</v>
      </c>
      <c r="D170" s="94" t="str">
        <f t="shared" si="32"/>
        <v>Euro/kWh</v>
      </c>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row>
    <row r="171" spans="2:44" s="356" customFormat="1" x14ac:dyDescent="0.25">
      <c r="B171" s="65" t="s">
        <v>49</v>
      </c>
      <c r="C171" s="419">
        <f>IF(NOT(OR($C$13=6,$C$13=7,$C$13=9)),_xlfn.XLOOKUP($C$13,Correcties!A27:A37,Correcties!D27:D37,"foutmelding"),($C$22-1)/$C$22*Correcties!D69*IF($C$13=7,1,Correcties!D70)*IF($C$13=9,Correcties!D71,1))*IF(C159=0,1,C159/(1+C159))</f>
        <v>0</v>
      </c>
      <c r="D171" s="57" t="str">
        <f t="shared" si="32"/>
        <v>Euro/kWh</v>
      </c>
      <c r="E171" s="10"/>
      <c r="F171" s="410"/>
      <c r="G171" s="410"/>
      <c r="H171" s="410"/>
      <c r="I171" s="410"/>
      <c r="J171" s="410"/>
      <c r="K171" s="410"/>
      <c r="L171" s="410"/>
      <c r="M171" s="410"/>
      <c r="N171" s="410"/>
      <c r="O171" s="410"/>
      <c r="P171" s="4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row>
    <row r="172" spans="2:44" s="356" customFormat="1" ht="13.5" customHeight="1" x14ac:dyDescent="0.25">
      <c r="B172" s="68" t="s">
        <v>492</v>
      </c>
      <c r="C172" s="343">
        <f>IF(C14="Nee",0,IF(NOT(OR($C$13=6,$C$13=7,$C$13=9)),_xlfn.XLOOKUP($C$13,Correcties!A27:A37,Correcties!F27:F37,"foutmelding"),($C$22-1)/$C$22*Correcties!H69*IF($C$13=7,1,Correcties!H70)*IF($C$13=9,Correcties!H71,1))*IF(C159=0,1,C159/(1+C159)))</f>
        <v>0</v>
      </c>
      <c r="D172" s="66" t="str">
        <f t="shared" si="32"/>
        <v>Euro/kWh</v>
      </c>
      <c r="E172" s="10"/>
      <c r="F172" s="410"/>
      <c r="G172" s="410"/>
      <c r="H172" s="410"/>
      <c r="I172" s="410"/>
      <c r="J172" s="410"/>
      <c r="K172" s="410"/>
      <c r="L172" s="410"/>
      <c r="M172" s="410"/>
      <c r="N172" s="410"/>
      <c r="O172" s="410"/>
      <c r="P172" s="4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row>
    <row r="173" spans="2:44" s="356" customFormat="1" ht="13.5" customHeight="1" x14ac:dyDescent="0.25">
      <c r="B173" s="68" t="s">
        <v>493</v>
      </c>
      <c r="C173" s="342">
        <f>IFERROR(ROUND(INDEX(Correcties!$A$1:$K$10,MATCH(C15,Correcties!$A$1:$A$10,0),6),decimalen),"n.v.t.")</f>
        <v>5.1999999999999998E-2</v>
      </c>
      <c r="D173" s="66" t="str">
        <f t="shared" si="32"/>
        <v>Euro/kWh</v>
      </c>
      <c r="E173" s="10"/>
      <c r="F173" s="410"/>
      <c r="G173" s="410"/>
      <c r="H173" s="410"/>
      <c r="I173" s="410"/>
      <c r="J173" s="410"/>
      <c r="K173" s="410"/>
      <c r="L173" s="410"/>
      <c r="M173" s="410"/>
      <c r="N173" s="410"/>
      <c r="O173" s="410"/>
      <c r="P173" s="4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row>
    <row r="174" spans="2:44" s="356" customFormat="1" ht="13.5" customHeight="1" x14ac:dyDescent="0.25">
      <c r="B174" s="68" t="s">
        <v>494</v>
      </c>
      <c r="C174" s="343">
        <f>IFERROR(ROUND(INDEX(Correcties!$A$1:$K$11,MATCH(C16,Correcties!$A$1:$A$11,0),6),decimalen),"n.v.t.")</f>
        <v>9.0999999999999998E-2</v>
      </c>
      <c r="D174" s="66" t="str">
        <f t="shared" si="32"/>
        <v>Euro/kWh</v>
      </c>
      <c r="E174" s="10"/>
      <c r="F174" s="410"/>
      <c r="G174" s="410"/>
      <c r="H174" s="410"/>
      <c r="I174" s="410"/>
      <c r="J174" s="410"/>
      <c r="K174" s="410"/>
      <c r="L174" s="410"/>
      <c r="M174" s="410"/>
      <c r="N174" s="410"/>
      <c r="O174" s="410"/>
      <c r="P174" s="4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row>
    <row r="175" spans="2:44" s="356" customFormat="1" x14ac:dyDescent="0.25">
      <c r="B175" s="65" t="str">
        <f>"Voorlopig correctiebedrag "&amp;Colofon!$B$21&amp;""</f>
        <v xml:space="preserve">Voorlopig correctiebedrag </v>
      </c>
      <c r="C175" s="159" t="str">
        <f>IF(C15&gt;0,"netlevering: "&amp;C176&amp;", niet-netlevering: "&amp;C177,ROUND(VLOOKUP($C21,Correcties!$A$4:$J$74,6),decimalen))</f>
        <v>netlevering: 0.057, niet-netlevering: 0.093</v>
      </c>
      <c r="D175" s="334" t="s">
        <v>406</v>
      </c>
      <c r="E175" s="10"/>
      <c r="F175" s="410"/>
      <c r="G175" s="410"/>
      <c r="H175" s="410"/>
      <c r="I175" s="410"/>
      <c r="J175" s="410"/>
      <c r="K175" s="410"/>
      <c r="L175" s="410"/>
      <c r="M175" s="410"/>
      <c r="N175" s="410"/>
      <c r="O175" s="410"/>
      <c r="P175" s="4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row>
    <row r="176" spans="2:44" s="356" customFormat="1" x14ac:dyDescent="0.25">
      <c r="B176" s="65" t="str">
        <f>"Voorlopig correctiebedrag "&amp;Colofon!$B$21&amp;" netlevering "</f>
        <v xml:space="preserve">Voorlopig correctiebedrag  netlevering </v>
      </c>
      <c r="C176" s="344">
        <f>ROUND(VLOOKUP(C15,Correcties!$A$4:$K$11,10,FALSE),decimalen)</f>
        <v>5.7000000000000002E-2</v>
      </c>
      <c r="D176" s="57" t="s">
        <v>406</v>
      </c>
      <c r="E176" s="10"/>
      <c r="F176" s="410"/>
      <c r="G176" s="410"/>
      <c r="H176" s="410"/>
      <c r="I176" s="410"/>
      <c r="J176" s="410"/>
      <c r="K176" s="410"/>
      <c r="L176" s="410"/>
      <c r="M176" s="410"/>
      <c r="N176" s="410"/>
      <c r="O176" s="410"/>
      <c r="P176" s="4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row>
    <row r="177" spans="2:16" s="356" customFormat="1" x14ac:dyDescent="0.25">
      <c r="B177" s="68" t="str">
        <f>"Voorlopig correctiebedrag "&amp;Colofon!$B$21&amp;" niet-netlevering "</f>
        <v xml:space="preserve">Voorlopig correctiebedrag  niet-netlevering </v>
      </c>
      <c r="C177" s="343">
        <f>ROUND(VLOOKUP(C16,Correcties!$A$4:$K$11,10,FALSE),decimalen)</f>
        <v>9.2999999999999999E-2</v>
      </c>
      <c r="D177" s="66" t="s">
        <v>406</v>
      </c>
      <c r="E177" s="10"/>
      <c r="F177" s="410"/>
      <c r="G177" s="410"/>
      <c r="H177" s="410"/>
      <c r="I177" s="410"/>
      <c r="J177" s="410"/>
      <c r="K177" s="410"/>
      <c r="L177" s="410"/>
      <c r="M177" s="410"/>
      <c r="N177" s="410"/>
      <c r="O177" s="410"/>
      <c r="P177" s="410"/>
    </row>
    <row r="178" spans="2:16" s="10" customFormat="1" x14ac:dyDescent="0.25">
      <c r="B178" s="68" t="str">
        <f>"Voorlopige GvO-waarde "&amp;Colofon!$C$29</f>
        <v>Voorlopige GvO-waarde 2025</v>
      </c>
      <c r="C178" s="343">
        <f>ROUND(VLOOKUP($C$15,Correcties!$A$4:$M$11,12,FALSE),decimalen)</f>
        <v>4.0000000000000001E-3</v>
      </c>
      <c r="D178" s="66" t="str">
        <f t="shared" ref="D178" si="33">CONCATENATE("Euro/",$C$7)</f>
        <v>Euro/kWh</v>
      </c>
      <c r="E178" s="67"/>
      <c r="F178" s="67"/>
      <c r="G178" s="67"/>
      <c r="H178" s="67"/>
      <c r="I178" s="67"/>
      <c r="J178" s="67"/>
      <c r="K178" s="67"/>
      <c r="L178" s="67"/>
      <c r="M178" s="67"/>
      <c r="N178" s="67"/>
      <c r="O178" s="67"/>
      <c r="P178" s="67"/>
    </row>
    <row r="179" spans="2:16" s="356" customFormat="1" x14ac:dyDescent="0.25">
      <c r="B179" s="10"/>
      <c r="C179" s="10"/>
      <c r="D179" s="10"/>
      <c r="E179" s="410"/>
      <c r="F179" s="410"/>
      <c r="G179" s="410"/>
      <c r="H179" s="410"/>
      <c r="I179" s="410"/>
      <c r="J179" s="410"/>
      <c r="K179" s="410"/>
      <c r="L179" s="410"/>
      <c r="M179" s="410"/>
      <c r="N179" s="410"/>
      <c r="O179" s="410"/>
      <c r="P179" s="410"/>
    </row>
    <row r="180" spans="2:16" s="356" customFormat="1" x14ac:dyDescent="0.25">
      <c r="B180" s="102" t="s">
        <v>495</v>
      </c>
      <c r="C180" s="103" t="s">
        <v>79</v>
      </c>
      <c r="D180" s="128" t="s">
        <v>136</v>
      </c>
      <c r="E180" s="10"/>
      <c r="F180" s="10"/>
      <c r="G180" s="10"/>
      <c r="H180" s="10"/>
      <c r="I180" s="10"/>
      <c r="J180" s="10"/>
      <c r="K180" s="10"/>
      <c r="L180" s="10"/>
      <c r="M180" s="10"/>
      <c r="N180" s="10"/>
      <c r="O180" s="10"/>
      <c r="P180" s="10"/>
    </row>
    <row r="181" spans="2:16" s="356" customFormat="1" x14ac:dyDescent="0.25">
      <c r="B181" s="26" t="s">
        <v>496</v>
      </c>
      <c r="C181" s="69">
        <v>35.799999999999997</v>
      </c>
      <c r="D181" s="57" t="s">
        <v>497</v>
      </c>
      <c r="E181" s="10"/>
      <c r="F181" s="10"/>
      <c r="G181" s="10"/>
      <c r="H181" s="10"/>
      <c r="I181" s="10"/>
      <c r="J181" s="10"/>
      <c r="K181" s="10"/>
      <c r="L181" s="10"/>
      <c r="M181" s="10"/>
      <c r="N181" s="10"/>
      <c r="O181" s="10"/>
      <c r="P181" s="10"/>
    </row>
    <row r="182" spans="2:16" s="356" customFormat="1" x14ac:dyDescent="0.25">
      <c r="B182" s="26" t="s">
        <v>498</v>
      </c>
      <c r="C182" s="69">
        <v>31.65</v>
      </c>
      <c r="D182" s="57" t="s">
        <v>497</v>
      </c>
      <c r="E182" s="10"/>
      <c r="F182" s="10"/>
      <c r="G182" s="10"/>
      <c r="H182" s="10"/>
      <c r="I182" s="10"/>
      <c r="J182" s="10"/>
      <c r="K182" s="10"/>
      <c r="L182" s="10"/>
      <c r="M182" s="10"/>
      <c r="N182" s="10"/>
      <c r="O182" s="10"/>
      <c r="P182" s="10"/>
    </row>
    <row r="183" spans="2:16" s="356" customFormat="1" x14ac:dyDescent="0.25">
      <c r="B183" s="26" t="s">
        <v>499</v>
      </c>
      <c r="C183" s="69">
        <v>35.17</v>
      </c>
      <c r="D183" s="57" t="s">
        <v>497</v>
      </c>
      <c r="E183" s="10"/>
      <c r="F183" s="10"/>
      <c r="G183" s="10"/>
      <c r="H183" s="10"/>
      <c r="I183" s="10"/>
      <c r="J183" s="10"/>
      <c r="K183" s="10"/>
      <c r="L183" s="10"/>
      <c r="M183" s="10"/>
      <c r="N183" s="10"/>
      <c r="O183" s="10"/>
      <c r="P183" s="10"/>
    </row>
    <row r="184" spans="2:16" s="356" customFormat="1" x14ac:dyDescent="0.25">
      <c r="B184" s="27" t="s">
        <v>500</v>
      </c>
      <c r="C184" s="70">
        <v>3.6</v>
      </c>
      <c r="D184" s="66" t="s">
        <v>501</v>
      </c>
      <c r="E184" s="10"/>
      <c r="F184" s="10"/>
      <c r="G184" s="10"/>
      <c r="H184" s="10"/>
      <c r="I184" s="10"/>
      <c r="J184" s="10"/>
      <c r="K184" s="10"/>
      <c r="L184" s="10"/>
      <c r="M184" s="10"/>
      <c r="N184" s="10"/>
      <c r="O184" s="10"/>
      <c r="P184" s="10"/>
    </row>
    <row r="185" spans="2:16" s="356" customFormat="1" x14ac:dyDescent="0.25">
      <c r="B185" s="10"/>
      <c r="C185" s="10"/>
      <c r="D185" s="10"/>
      <c r="E185" s="10"/>
      <c r="F185" s="10"/>
      <c r="G185" s="10"/>
      <c r="H185" s="10"/>
      <c r="I185" s="10"/>
      <c r="J185" s="10"/>
      <c r="K185" s="10"/>
      <c r="L185" s="10"/>
      <c r="M185" s="10"/>
      <c r="N185" s="10"/>
      <c r="O185" s="10"/>
      <c r="P185" s="10"/>
    </row>
    <row r="186" spans="2:16" s="356" customFormat="1" x14ac:dyDescent="0.25">
      <c r="B186" s="10"/>
      <c r="C186" s="10"/>
      <c r="D186" s="10"/>
      <c r="E186" s="10"/>
      <c r="F186" s="10"/>
      <c r="G186" s="10"/>
      <c r="H186" s="10"/>
      <c r="I186" s="10"/>
      <c r="J186" s="10"/>
      <c r="K186" s="10"/>
      <c r="L186" s="10"/>
      <c r="M186" s="10"/>
      <c r="N186" s="10"/>
      <c r="O186" s="10"/>
      <c r="P186" s="10"/>
    </row>
    <row r="187" spans="2:16" x14ac:dyDescent="0.25">
      <c r="B187" s="16"/>
      <c r="C187" s="29"/>
      <c r="D187" s="29"/>
      <c r="E187" s="10"/>
      <c r="F187" s="10"/>
      <c r="G187" s="16"/>
      <c r="H187" s="10"/>
      <c r="I187" s="16"/>
      <c r="J187" s="16"/>
      <c r="K187" s="16"/>
      <c r="L187" s="16"/>
      <c r="M187" s="16"/>
      <c r="N187" s="16"/>
      <c r="O187" s="16"/>
      <c r="P187" s="16"/>
    </row>
    <row r="188" spans="2:16" x14ac:dyDescent="0.25">
      <c r="B188" s="16"/>
      <c r="C188" s="29"/>
      <c r="D188" s="29"/>
      <c r="E188" s="10"/>
      <c r="F188" s="10"/>
      <c r="G188" s="16"/>
      <c r="H188" s="10"/>
      <c r="I188" s="16"/>
      <c r="J188" s="16"/>
      <c r="K188" s="16"/>
      <c r="L188" s="16"/>
      <c r="M188" s="16"/>
      <c r="N188" s="16"/>
      <c r="O188" s="16"/>
      <c r="P188" s="16"/>
    </row>
    <row r="189" spans="2:16" x14ac:dyDescent="0.25">
      <c r="B189" s="16"/>
      <c r="C189" s="29"/>
      <c r="D189" s="29"/>
      <c r="E189" s="10"/>
      <c r="F189" s="10"/>
      <c r="G189" s="16"/>
      <c r="H189" s="10"/>
      <c r="I189" s="16"/>
      <c r="J189" s="16"/>
      <c r="K189" s="16"/>
      <c r="L189" s="16"/>
      <c r="M189" s="16"/>
      <c r="N189" s="16"/>
      <c r="O189" s="16"/>
      <c r="P189" s="16"/>
    </row>
    <row r="190" spans="2:16" x14ac:dyDescent="0.25">
      <c r="B190" s="16"/>
      <c r="C190" s="29"/>
      <c r="D190" s="29"/>
      <c r="E190" s="16"/>
      <c r="F190" s="16"/>
      <c r="G190" s="16"/>
      <c r="H190" s="10"/>
      <c r="I190" s="16"/>
      <c r="J190" s="16"/>
      <c r="K190" s="16"/>
      <c r="L190" s="16"/>
      <c r="M190" s="16"/>
      <c r="N190" s="16"/>
      <c r="O190" s="16"/>
      <c r="P190" s="16"/>
    </row>
    <row r="191" spans="2:16" x14ac:dyDescent="0.25">
      <c r="B191" s="16"/>
      <c r="C191" s="29"/>
      <c r="D191" s="29"/>
      <c r="E191" s="16"/>
      <c r="F191" s="16"/>
      <c r="G191" s="16"/>
      <c r="H191" s="10"/>
      <c r="I191" s="16"/>
      <c r="J191" s="16"/>
      <c r="K191" s="16"/>
      <c r="L191" s="16"/>
      <c r="M191" s="16"/>
      <c r="N191" s="16"/>
      <c r="O191" s="16"/>
      <c r="P191" s="16"/>
    </row>
    <row r="192" spans="2:16" x14ac:dyDescent="0.25">
      <c r="B192" s="16"/>
      <c r="C192" s="29"/>
      <c r="D192" s="29"/>
      <c r="E192" s="16"/>
      <c r="F192" s="16"/>
      <c r="G192" s="16"/>
      <c r="H192" s="10"/>
      <c r="I192" s="16"/>
      <c r="J192" s="16"/>
      <c r="K192" s="16"/>
      <c r="L192" s="16"/>
      <c r="M192" s="16"/>
      <c r="N192" s="16"/>
      <c r="O192" s="16"/>
      <c r="P192" s="16"/>
    </row>
    <row r="193" spans="2:16" x14ac:dyDescent="0.25">
      <c r="B193" s="16"/>
      <c r="C193" s="29"/>
      <c r="D193" s="29"/>
      <c r="E193" s="16"/>
      <c r="F193" s="16"/>
      <c r="G193" s="16"/>
      <c r="H193" s="10"/>
      <c r="I193" s="16"/>
      <c r="J193" s="16"/>
      <c r="K193" s="16"/>
      <c r="L193" s="16"/>
      <c r="M193" s="16"/>
      <c r="N193" s="16"/>
      <c r="O193" s="16"/>
      <c r="P193" s="16"/>
    </row>
    <row r="194" spans="2:16" x14ac:dyDescent="0.25">
      <c r="B194" s="16"/>
      <c r="C194" s="29"/>
      <c r="D194" s="29"/>
      <c r="E194" s="16"/>
      <c r="F194" s="16"/>
      <c r="G194" s="16"/>
      <c r="H194" s="10"/>
      <c r="I194" s="16"/>
      <c r="J194" s="16"/>
      <c r="K194" s="16"/>
      <c r="L194" s="16"/>
      <c r="M194" s="16"/>
      <c r="N194" s="16"/>
      <c r="O194" s="16"/>
      <c r="P194" s="16"/>
    </row>
    <row r="195" spans="2:16" x14ac:dyDescent="0.25">
      <c r="B195" s="16"/>
      <c r="C195" s="29"/>
      <c r="D195" s="29"/>
      <c r="E195" s="16"/>
      <c r="F195" s="16"/>
      <c r="G195" s="16"/>
      <c r="H195" s="10"/>
      <c r="I195" s="16"/>
      <c r="J195" s="16"/>
      <c r="K195" s="16"/>
      <c r="L195" s="16"/>
      <c r="M195" s="16"/>
      <c r="N195" s="16"/>
      <c r="O195" s="16"/>
      <c r="P195" s="16"/>
    </row>
    <row r="196" spans="2:16" x14ac:dyDescent="0.25">
      <c r="B196" s="16"/>
      <c r="C196" s="29"/>
      <c r="D196" s="29"/>
      <c r="E196" s="16"/>
      <c r="F196" s="16"/>
      <c r="G196" s="16"/>
      <c r="H196" s="10"/>
      <c r="I196" s="16"/>
      <c r="J196" s="16"/>
      <c r="K196" s="16"/>
      <c r="L196" s="16"/>
      <c r="M196" s="16"/>
      <c r="N196" s="16"/>
      <c r="O196" s="16"/>
      <c r="P196" s="16"/>
    </row>
    <row r="197" spans="2:16" x14ac:dyDescent="0.25">
      <c r="B197" s="16"/>
      <c r="C197" s="29"/>
      <c r="D197" s="29"/>
      <c r="E197" s="16"/>
      <c r="F197" s="16"/>
      <c r="G197" s="16"/>
      <c r="H197" s="10"/>
      <c r="I197" s="16"/>
      <c r="J197" s="16"/>
      <c r="K197" s="16"/>
      <c r="L197" s="16"/>
      <c r="M197" s="16"/>
      <c r="N197" s="16"/>
      <c r="O197" s="16"/>
      <c r="P197" s="16"/>
    </row>
    <row r="198" spans="2:16" x14ac:dyDescent="0.25">
      <c r="B198" s="16"/>
      <c r="C198" s="29"/>
      <c r="D198" s="29"/>
      <c r="E198" s="16"/>
      <c r="F198" s="16"/>
      <c r="G198" s="16"/>
      <c r="H198" s="10"/>
      <c r="I198" s="16"/>
      <c r="J198" s="16"/>
      <c r="K198" s="16"/>
      <c r="L198" s="16"/>
      <c r="M198" s="16"/>
      <c r="N198" s="16"/>
      <c r="O198" s="16"/>
      <c r="P198" s="16"/>
    </row>
    <row r="199" spans="2:16" x14ac:dyDescent="0.25">
      <c r="B199" s="16"/>
      <c r="C199" s="29"/>
      <c r="D199" s="29"/>
      <c r="E199" s="16"/>
      <c r="F199" s="16"/>
      <c r="G199" s="16"/>
      <c r="H199" s="10"/>
      <c r="I199" s="16"/>
      <c r="J199" s="16"/>
      <c r="K199" s="16"/>
      <c r="L199" s="16"/>
      <c r="M199" s="16"/>
      <c r="N199" s="16"/>
      <c r="O199" s="16"/>
      <c r="P199" s="16"/>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9 G110:G114 G149:G160 G164:G168 G170">
    <cfRule type="containsText" dxfId="50" priority="5" operator="containsText" text="Pas op">
      <formula>NOT(ISERROR(SEARCH("Pas op",G19)))</formula>
    </cfRule>
  </conditionalFormatting>
  <conditionalFormatting sqref="G105">
    <cfRule type="containsText" dxfId="49" priority="3" operator="containsText" text="Pas op">
      <formula>NOT(ISERROR(SEARCH("Pas op",G105)))</formula>
    </cfRule>
  </conditionalFormatting>
  <conditionalFormatting sqref="G185:G1048576">
    <cfRule type="containsText" dxfId="48" priority="4" operator="containsText" text="Pas op">
      <formula>NOT(ISERROR(SEARCH("Pas op",G185)))</formula>
    </cfRule>
  </conditionalFormatting>
  <dataValidations count="3">
    <dataValidation type="list" allowBlank="1" showInputMessage="1" showErrorMessage="1" sqref="C37362 C102898 C168434 C233970 C299506 C365042 C430578 C496114 C561650 C627186 C692722 C758258 C823794 C889330 C954866" xr:uid="{1DD2F296-BB43-4247-AB0F-1F80FF6A4CB5}">
      <formula1>"ja,nee"</formula1>
    </dataValidation>
    <dataValidation type="list" allowBlank="1" showInputMessage="1" showErrorMessage="1" sqref="C7" xr:uid="{F40DB31C-E415-4599-87A0-84268A1A311B}">
      <formula1>"t CO2,kWh"</formula1>
    </dataValidation>
    <dataValidation type="list" allowBlank="1" showInputMessage="1" showErrorMessage="1" sqref="C14" xr:uid="{98B9B0F7-40ED-45C4-B755-89CD51C0A6D2}">
      <formula1>"Nee,Ja,Geen warmte"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FCF3768-EA68-41A8-BE0C-D0CABCC19B5E}">
          <x14:formula1>
            <xm:f>Correcties!$A$4:$A$10</xm:f>
          </x14:formula1>
          <xm:sqref>C12</xm:sqref>
        </x14:dataValidation>
        <x14:dataValidation type="list" allowBlank="1" showInputMessage="1" showErrorMessage="1" xr:uid="{2121DF9B-BF06-40B6-A9CB-D109B20A9424}">
          <x14:formula1>
            <xm:f>Colofon!$B$34:$B$39</xm:f>
          </x14:formula1>
          <xm:sqref>C9</xm:sqref>
        </x14:dataValidation>
        <x14:dataValidation type="list" allowBlank="1" showInputMessage="1" showErrorMessage="1" xr:uid="{58E00283-6920-4ED6-98A8-D7D824B71B6B}">
          <x14:formula1>
            <xm:f>Correcties!$A$27:$A$38</xm:f>
          </x14:formula1>
          <xm:sqref>C13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4DF59-9B9B-4314-9A2F-6CF6AB7CCFC1}">
  <sheetPr codeName="Sheet96">
    <tabColor theme="7" tint="0.79998168889431442"/>
    <pageSetUpPr fitToPage="1"/>
  </sheetPr>
  <dimension ref="A1:AR199"/>
  <sheetViews>
    <sheetView showGridLines="0" topLeftCell="A101" zoomScaleNormal="100" workbookViewId="0">
      <selection activeCell="J132" sqref="J132"/>
    </sheetView>
  </sheetViews>
  <sheetFormatPr defaultColWidth="12.7265625" defaultRowHeight="12.5" x14ac:dyDescent="0.25"/>
  <cols>
    <col min="1" max="1" width="1.453125" style="16" customWidth="1"/>
    <col min="2" max="2" width="53.453125" style="16" customWidth="1"/>
    <col min="3" max="3" width="14.26953125" style="29" customWidth="1"/>
    <col min="4" max="4" width="29.26953125" style="29" bestFit="1" customWidth="1"/>
    <col min="5" max="5" width="20.26953125" style="16" customWidth="1"/>
    <col min="6" max="7" width="12.7265625" style="16" customWidth="1"/>
    <col min="8" max="12" width="12.7265625" style="16"/>
    <col min="13" max="13" width="15.26953125" style="16" customWidth="1"/>
    <col min="14" max="16384" width="12.7265625" style="16"/>
  </cols>
  <sheetData>
    <row r="1" spans="1:44" ht="20" x14ac:dyDescent="0.4">
      <c r="A1" s="28" t="str">
        <f>CONCATENATE("Berekening basisbedragen: ", Colofon!C16)</f>
        <v>Berekening basisbedragen: Eindadvies SCE 2025</v>
      </c>
    </row>
    <row r="2" spans="1:44" s="31" customFormat="1" ht="20" x14ac:dyDescent="0.4">
      <c r="A2" s="30" t="s">
        <v>508</v>
      </c>
      <c r="C2" s="32"/>
      <c r="D2" s="32"/>
    </row>
    <row r="4" spans="1:44" x14ac:dyDescent="0.25">
      <c r="B4" s="102" t="s">
        <v>299</v>
      </c>
      <c r="C4" s="103" t="s">
        <v>79</v>
      </c>
      <c r="D4" s="103" t="s">
        <v>136</v>
      </c>
      <c r="E4" s="445" t="s">
        <v>63</v>
      </c>
      <c r="F4" s="445"/>
      <c r="G4" s="445"/>
      <c r="H4" s="445"/>
      <c r="I4" s="445"/>
      <c r="J4" s="445"/>
      <c r="K4" s="445"/>
      <c r="L4" s="445"/>
      <c r="M4" s="446"/>
    </row>
    <row r="5" spans="1:44" ht="13" x14ac:dyDescent="0.3">
      <c r="B5" s="96" t="s">
        <v>37</v>
      </c>
      <c r="C5" s="313">
        <f>ROUND((C158-C150)/C151,4)</f>
        <v>9.2999999999999999E-2</v>
      </c>
      <c r="D5" s="98" t="str">
        <f>CONCATENATE("Euro/",$C$7)</f>
        <v>Euro/kWh</v>
      </c>
      <c r="E5" s="447" t="s">
        <v>300</v>
      </c>
      <c r="F5" s="447"/>
      <c r="G5" s="447"/>
      <c r="H5" s="447"/>
      <c r="I5" s="447"/>
      <c r="J5" s="447"/>
      <c r="K5" s="447"/>
      <c r="L5" s="447"/>
      <c r="M5" s="448"/>
    </row>
    <row r="6" spans="1:44" ht="13" x14ac:dyDescent="0.3">
      <c r="B6" s="96" t="s">
        <v>301</v>
      </c>
      <c r="C6" s="135">
        <f>(ROUND(C5,4)-(ROUND(C173,4)+ROUND(C178,4)+ROUND(C172,4)))/ROUND(C70,4)*1000</f>
        <v>588.23529411764719</v>
      </c>
      <c r="D6" s="99" t="s">
        <v>302</v>
      </c>
      <c r="E6" s="447" t="s">
        <v>303</v>
      </c>
      <c r="F6" s="447"/>
      <c r="G6" s="447"/>
      <c r="H6" s="447"/>
      <c r="I6" s="447"/>
      <c r="J6" s="447"/>
      <c r="K6" s="447"/>
      <c r="L6" s="447"/>
      <c r="M6" s="448"/>
    </row>
    <row r="7" spans="1:44" ht="13" x14ac:dyDescent="0.3">
      <c r="B7" s="96" t="s">
        <v>304</v>
      </c>
      <c r="C7" s="160" t="s">
        <v>305</v>
      </c>
      <c r="D7" s="100"/>
      <c r="E7" s="284" t="s">
        <v>306</v>
      </c>
      <c r="F7" s="284"/>
      <c r="G7" s="284"/>
      <c r="H7" s="284"/>
      <c r="I7" s="284"/>
      <c r="J7" s="284"/>
      <c r="K7" s="284"/>
      <c r="L7" s="284"/>
      <c r="M7" s="285"/>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1:44" ht="13" x14ac:dyDescent="0.3">
      <c r="B8" s="96" t="s">
        <v>307</v>
      </c>
      <c r="C8" s="136" t="s">
        <v>308</v>
      </c>
      <c r="D8" s="100"/>
      <c r="E8" s="447"/>
      <c r="F8" s="447"/>
      <c r="G8" s="447"/>
      <c r="H8" s="447"/>
      <c r="I8" s="447"/>
      <c r="J8" s="447"/>
      <c r="K8" s="447"/>
      <c r="L8" s="447"/>
      <c r="M8" s="448"/>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1:44" ht="13" x14ac:dyDescent="0.3">
      <c r="B9" s="97" t="s">
        <v>19</v>
      </c>
      <c r="C9" s="161" t="s">
        <v>21</v>
      </c>
      <c r="D9" s="101"/>
      <c r="E9" s="286" t="s">
        <v>309</v>
      </c>
      <c r="F9" s="286"/>
      <c r="G9" s="286"/>
      <c r="H9" s="286"/>
      <c r="I9" s="286"/>
      <c r="J9" s="286"/>
      <c r="K9" s="286"/>
      <c r="L9" s="286"/>
      <c r="M9" s="287"/>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1:44" s="35" customFormat="1" ht="13" x14ac:dyDescent="0.3">
      <c r="B10" s="34"/>
      <c r="C10" s="34"/>
      <c r="D10" s="34"/>
      <c r="E10" s="36"/>
      <c r="F10" s="36"/>
      <c r="G10" s="36"/>
      <c r="H10" s="36"/>
      <c r="I10" s="36"/>
      <c r="J10" s="36"/>
      <c r="K10" s="36"/>
      <c r="L10" s="36"/>
      <c r="M10" s="36"/>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1:44" ht="13" x14ac:dyDescent="0.3">
      <c r="B11" s="102" t="s">
        <v>310</v>
      </c>
      <c r="C11" s="103" t="s">
        <v>79</v>
      </c>
      <c r="D11" s="103" t="s">
        <v>311</v>
      </c>
      <c r="E11" s="445" t="s">
        <v>63</v>
      </c>
      <c r="F11" s="445"/>
      <c r="G11" s="445"/>
      <c r="H11" s="445"/>
      <c r="I11" s="445"/>
      <c r="J11" s="445"/>
      <c r="K11" s="445"/>
      <c r="L11" s="445"/>
      <c r="M11" s="446"/>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1:44" ht="13" x14ac:dyDescent="0.3">
      <c r="B12" s="104" t="s">
        <v>312</v>
      </c>
      <c r="C12" s="162"/>
      <c r="D12" s="105" t="str">
        <f>_xlfn.XLOOKUP(C12,Correcties!A4:A11,Correcties!B4:B11,"")</f>
        <v/>
      </c>
      <c r="E12" s="449">
        <f>IFERROR(INDEX(Correcties!$A$1:$I$301,MATCH('6'!C12,Correcties!$A$1:$A$301,0),5),"")</f>
        <v>0</v>
      </c>
      <c r="F12" s="449"/>
      <c r="G12" s="449"/>
      <c r="H12" s="449"/>
      <c r="I12" s="449"/>
      <c r="J12" s="449"/>
      <c r="K12" s="449"/>
      <c r="L12" s="449"/>
      <c r="M12" s="450"/>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1:44" ht="13" x14ac:dyDescent="0.3">
      <c r="B13" s="96" t="s">
        <v>313</v>
      </c>
      <c r="C13" s="160">
        <v>0</v>
      </c>
      <c r="D13" s="106" t="str">
        <f>_xlfn.XLOOKUP(C13,Correcties!A27:A37,Correcties!B27:B37)</f>
        <v>Geen ETS-correctie</v>
      </c>
      <c r="E13" s="447" t="e">
        <f>_xlfn.XLOOKUP(C13,Correcties!A27:A38,Correcties!E27:E39)</f>
        <v>#VALUE!</v>
      </c>
      <c r="F13" s="447"/>
      <c r="G13" s="447"/>
      <c r="H13" s="447"/>
      <c r="I13" s="447"/>
      <c r="J13" s="447"/>
      <c r="K13" s="447"/>
      <c r="L13" s="447"/>
      <c r="M13" s="448"/>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1:44" ht="13" x14ac:dyDescent="0.3">
      <c r="B14" s="96" t="s">
        <v>314</v>
      </c>
      <c r="C14" s="160" t="s">
        <v>315</v>
      </c>
      <c r="D14" s="106" t="s">
        <v>316</v>
      </c>
      <c r="E14" s="284" t="s">
        <v>317</v>
      </c>
      <c r="F14" s="284"/>
      <c r="G14" s="284"/>
      <c r="H14" s="284"/>
      <c r="I14" s="284"/>
      <c r="J14" s="284"/>
      <c r="K14" s="284"/>
      <c r="L14" s="284"/>
      <c r="M14" s="285"/>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x14ac:dyDescent="0.25">
      <c r="B15" s="96" t="s">
        <v>318</v>
      </c>
      <c r="C15" s="421">
        <v>6.3</v>
      </c>
      <c r="D15" s="99" t="str">
        <f>_xlfn.XLOOKUP(C15,Correcties!A4:A11,Correcties!B4:B11,"")</f>
        <v>Elektriciteit-ZonPV-netlevering (negatieve uren niet meegenomen)</v>
      </c>
      <c r="E15" s="447" t="str">
        <f>"Enkel relevant voor zon-pv. "&amp;_xlfn.XLOOKUP(C15,Correcties!A4:A11,Correcties!E4:E11,"")</f>
        <v>Enkel relevant voor zon-pv. EPEX2 x PIF_PV2</v>
      </c>
      <c r="F15" s="447"/>
      <c r="G15" s="447"/>
      <c r="H15" s="447"/>
      <c r="I15" s="447"/>
      <c r="J15" s="447"/>
      <c r="K15" s="447"/>
      <c r="L15" s="447"/>
      <c r="M15" s="448"/>
    </row>
    <row r="16" spans="1:44" x14ac:dyDescent="0.25">
      <c r="B16" s="96" t="s">
        <v>319</v>
      </c>
      <c r="C16" s="167">
        <v>8.3000000000000007</v>
      </c>
      <c r="D16" s="99" t="str">
        <f>_xlfn.XLOOKUP(C16,Correcties!A4:A11,Correcties!B4:B11,"")</f>
        <v>Elektricteit-ZonPV-niet-netlevering, groot (negatieve uren niet meegenomen)</v>
      </c>
      <c r="E16" s="447" t="str">
        <f>"Enkel relevant voor zon-pv. "&amp;_xlfn.XLOOKUP(C16,Correcties!A4:A11,Correcties!E4:E11,"")</f>
        <v>Enkel relevant voor zon-pv. EPEX2 x PIF_PV + EB3_e + ODE3_e</v>
      </c>
      <c r="F16" s="447"/>
      <c r="G16" s="447"/>
      <c r="H16" s="447"/>
      <c r="I16" s="447"/>
      <c r="J16" s="447"/>
      <c r="K16" s="447"/>
      <c r="L16" s="447"/>
      <c r="M16" s="448"/>
    </row>
    <row r="17" spans="2:13" x14ac:dyDescent="0.25">
      <c r="B17" s="96" t="s">
        <v>320</v>
      </c>
      <c r="C17" s="163"/>
      <c r="D17" s="99"/>
      <c r="E17" s="447" t="s">
        <v>321</v>
      </c>
      <c r="F17" s="447"/>
      <c r="G17" s="447"/>
      <c r="H17" s="447"/>
      <c r="I17" s="447"/>
      <c r="J17" s="447"/>
      <c r="K17" s="447"/>
      <c r="L17" s="447"/>
      <c r="M17" s="448"/>
    </row>
    <row r="18" spans="2:13" x14ac:dyDescent="0.25">
      <c r="B18" s="97" t="s">
        <v>322</v>
      </c>
      <c r="C18" s="164"/>
      <c r="D18" s="107"/>
      <c r="E18" s="451" t="s">
        <v>323</v>
      </c>
      <c r="F18" s="451"/>
      <c r="G18" s="451"/>
      <c r="H18" s="451"/>
      <c r="I18" s="451"/>
      <c r="J18" s="451"/>
      <c r="K18" s="451"/>
      <c r="L18" s="451"/>
      <c r="M18" s="452"/>
    </row>
    <row r="19" spans="2:13" x14ac:dyDescent="0.25">
      <c r="C19" s="37"/>
    </row>
    <row r="20" spans="2:13" x14ac:dyDescent="0.25">
      <c r="B20" s="102" t="s">
        <v>324</v>
      </c>
      <c r="C20" s="103" t="s">
        <v>79</v>
      </c>
      <c r="D20" s="103" t="s">
        <v>136</v>
      </c>
      <c r="E20" s="445" t="s">
        <v>63</v>
      </c>
      <c r="F20" s="445"/>
      <c r="G20" s="445"/>
      <c r="H20" s="445"/>
      <c r="I20" s="445"/>
      <c r="J20" s="445"/>
      <c r="K20" s="445"/>
      <c r="L20" s="445"/>
      <c r="M20" s="446"/>
    </row>
    <row r="21" spans="2:13" x14ac:dyDescent="0.25">
      <c r="B21" s="96" t="s">
        <v>325</v>
      </c>
      <c r="C21" s="160">
        <v>10000</v>
      </c>
      <c r="D21" s="98" t="str">
        <f>C8</f>
        <v>kW</v>
      </c>
      <c r="E21" s="447"/>
      <c r="F21" s="447"/>
      <c r="G21" s="447"/>
      <c r="H21" s="447"/>
      <c r="I21" s="447"/>
      <c r="J21" s="447"/>
      <c r="K21" s="447"/>
      <c r="L21" s="447"/>
      <c r="M21" s="448"/>
    </row>
    <row r="22" spans="2:13" ht="13" x14ac:dyDescent="0.3">
      <c r="B22" s="96" t="s">
        <v>326</v>
      </c>
      <c r="C22" s="165"/>
      <c r="D22" s="98"/>
      <c r="E22" s="447" t="s">
        <v>327</v>
      </c>
      <c r="F22" s="447"/>
      <c r="G22" s="447"/>
      <c r="H22" s="447"/>
      <c r="I22" s="447"/>
      <c r="J22" s="447"/>
      <c r="K22" s="447"/>
      <c r="L22" s="447"/>
      <c r="M22" s="448"/>
    </row>
    <row r="23" spans="2:13" x14ac:dyDescent="0.25">
      <c r="B23" s="96" t="s">
        <v>328</v>
      </c>
      <c r="C23" s="160"/>
      <c r="D23" s="99"/>
      <c r="E23" s="284" t="s">
        <v>329</v>
      </c>
      <c r="F23" s="284"/>
      <c r="G23" s="284"/>
      <c r="H23" s="284"/>
      <c r="I23" s="284"/>
      <c r="J23" s="284"/>
      <c r="K23" s="284"/>
      <c r="L23" s="284"/>
      <c r="M23" s="285"/>
    </row>
    <row r="24" spans="2:13" x14ac:dyDescent="0.25">
      <c r="B24" s="108" t="s">
        <v>330</v>
      </c>
      <c r="C24" s="166"/>
      <c r="D24" s="99"/>
      <c r="E24" s="447" t="s">
        <v>331</v>
      </c>
      <c r="F24" s="447"/>
      <c r="G24" s="447"/>
      <c r="H24" s="447"/>
      <c r="I24" s="447"/>
      <c r="J24" s="447"/>
      <c r="K24" s="447"/>
      <c r="L24" s="447"/>
      <c r="M24" s="448"/>
    </row>
    <row r="25" spans="2:13" x14ac:dyDescent="0.25">
      <c r="B25" s="108" t="s">
        <v>332</v>
      </c>
      <c r="C25" s="137">
        <f>IF(C23="JA",IF(C24&lt;&gt;"",C21*C180/C176/C24,0),0)</f>
        <v>0</v>
      </c>
      <c r="D25" s="99" t="s">
        <v>333</v>
      </c>
      <c r="E25" s="447"/>
      <c r="F25" s="447"/>
      <c r="G25" s="447"/>
      <c r="H25" s="447"/>
      <c r="I25" s="447"/>
      <c r="J25" s="447"/>
      <c r="K25" s="447"/>
      <c r="L25" s="447"/>
      <c r="M25" s="448"/>
    </row>
    <row r="26" spans="2:13" x14ac:dyDescent="0.25">
      <c r="B26" s="96" t="s">
        <v>334</v>
      </c>
      <c r="C26" s="160"/>
      <c r="D26" s="98" t="str">
        <f>C8</f>
        <v>kW</v>
      </c>
      <c r="E26" s="447" t="s">
        <v>335</v>
      </c>
      <c r="F26" s="447"/>
      <c r="G26" s="447"/>
      <c r="H26" s="447"/>
      <c r="I26" s="447"/>
      <c r="J26" s="447"/>
      <c r="K26" s="447"/>
      <c r="L26" s="447"/>
      <c r="M26" s="448"/>
    </row>
    <row r="27" spans="2:13" x14ac:dyDescent="0.25">
      <c r="B27" s="108" t="s">
        <v>336</v>
      </c>
      <c r="C27" s="137">
        <f>IF(C23="JA",IF(C26=0,,C26*C180/C177),0)</f>
        <v>0</v>
      </c>
      <c r="D27" s="99" t="s">
        <v>333</v>
      </c>
      <c r="E27" s="447"/>
      <c r="F27" s="447"/>
      <c r="G27" s="447"/>
      <c r="H27" s="447"/>
      <c r="I27" s="447"/>
      <c r="J27" s="447"/>
      <c r="K27" s="447"/>
      <c r="L27" s="447"/>
      <c r="M27" s="448"/>
    </row>
    <row r="28" spans="2:13" x14ac:dyDescent="0.25">
      <c r="B28" s="96" t="s">
        <v>337</v>
      </c>
      <c r="C28" s="167">
        <v>10000</v>
      </c>
      <c r="D28" s="98" t="str">
        <f>C8</f>
        <v>kW</v>
      </c>
      <c r="E28" s="447" t="s">
        <v>338</v>
      </c>
      <c r="F28" s="447"/>
      <c r="G28" s="447"/>
      <c r="H28" s="447"/>
      <c r="I28" s="447"/>
      <c r="J28" s="447"/>
      <c r="K28" s="447"/>
      <c r="L28" s="447"/>
      <c r="M28" s="448"/>
    </row>
    <row r="29" spans="2:13" x14ac:dyDescent="0.25">
      <c r="B29" s="96" t="s">
        <v>339</v>
      </c>
      <c r="C29" s="167"/>
      <c r="D29" s="99" t="s">
        <v>340</v>
      </c>
      <c r="E29" s="447" t="s">
        <v>341</v>
      </c>
      <c r="F29" s="447"/>
      <c r="G29" s="447"/>
      <c r="H29" s="447"/>
      <c r="I29" s="447"/>
      <c r="J29" s="447"/>
      <c r="K29" s="447"/>
      <c r="L29" s="447"/>
      <c r="M29" s="448"/>
    </row>
    <row r="30" spans="2:13" x14ac:dyDescent="0.25">
      <c r="B30" s="97" t="s">
        <v>342</v>
      </c>
      <c r="C30" s="168">
        <v>740</v>
      </c>
      <c r="D30" s="107" t="s">
        <v>340</v>
      </c>
      <c r="E30" s="451" t="s">
        <v>341</v>
      </c>
      <c r="F30" s="451"/>
      <c r="G30" s="451"/>
      <c r="H30" s="451"/>
      <c r="I30" s="451"/>
      <c r="J30" s="451"/>
      <c r="K30" s="451"/>
      <c r="L30" s="451"/>
      <c r="M30" s="452"/>
    </row>
    <row r="31" spans="2:13" x14ac:dyDescent="0.25">
      <c r="C31" s="39"/>
      <c r="E31" s="40"/>
      <c r="F31" s="40"/>
      <c r="G31" s="40"/>
      <c r="H31" s="40"/>
      <c r="I31" s="40"/>
      <c r="J31" s="40"/>
      <c r="K31" s="40"/>
      <c r="L31" s="40"/>
      <c r="M31" s="40"/>
    </row>
    <row r="32" spans="2:13" x14ac:dyDescent="0.25">
      <c r="B32" s="102" t="s">
        <v>343</v>
      </c>
      <c r="C32" s="103" t="s">
        <v>79</v>
      </c>
      <c r="D32" s="103" t="s">
        <v>136</v>
      </c>
      <c r="E32" s="445" t="s">
        <v>63</v>
      </c>
      <c r="F32" s="445"/>
      <c r="G32" s="445"/>
      <c r="H32" s="445"/>
      <c r="I32" s="445"/>
      <c r="J32" s="445"/>
      <c r="K32" s="445"/>
      <c r="L32" s="445"/>
      <c r="M32" s="446"/>
    </row>
    <row r="33" spans="2:13" x14ac:dyDescent="0.25">
      <c r="B33" s="96" t="s">
        <v>344</v>
      </c>
      <c r="C33" s="138">
        <f>IF(C21&gt;0,C28/C21,IF(C28&gt;0,1,0))</f>
        <v>1</v>
      </c>
      <c r="D33" s="99"/>
      <c r="E33" s="447"/>
      <c r="F33" s="447"/>
      <c r="G33" s="447"/>
      <c r="H33" s="447"/>
      <c r="I33" s="447"/>
      <c r="J33" s="447"/>
      <c r="K33" s="447"/>
      <c r="L33" s="447"/>
      <c r="M33" s="448"/>
    </row>
    <row r="34" spans="2:13" x14ac:dyDescent="0.25">
      <c r="B34" s="96" t="s">
        <v>345</v>
      </c>
      <c r="C34" s="138">
        <f>IF(C28&gt;0,C33-C36*C33*(C26*C29)/(C28*C30),)</f>
        <v>1</v>
      </c>
      <c r="D34" s="99"/>
      <c r="E34" s="447"/>
      <c r="F34" s="447"/>
      <c r="G34" s="447"/>
      <c r="H34" s="447"/>
      <c r="I34" s="447"/>
      <c r="J34" s="447"/>
      <c r="K34" s="447"/>
      <c r="L34" s="447"/>
      <c r="M34" s="448"/>
    </row>
    <row r="35" spans="2:13" x14ac:dyDescent="0.25">
      <c r="B35" s="96" t="s">
        <v>346</v>
      </c>
      <c r="C35" s="139">
        <f>IF(C21&gt;0,C26/C21,0)</f>
        <v>0</v>
      </c>
      <c r="D35" s="99"/>
      <c r="E35" s="447"/>
      <c r="F35" s="447"/>
      <c r="G35" s="447"/>
      <c r="H35" s="447"/>
      <c r="I35" s="447"/>
      <c r="J35" s="447"/>
      <c r="K35" s="447"/>
      <c r="L35" s="447"/>
      <c r="M35" s="448"/>
    </row>
    <row r="36" spans="2:13" x14ac:dyDescent="0.25">
      <c r="B36" s="97" t="s">
        <v>347</v>
      </c>
      <c r="C36" s="169"/>
      <c r="D36" s="107" t="s">
        <v>348</v>
      </c>
      <c r="E36" s="451" t="s">
        <v>349</v>
      </c>
      <c r="F36" s="451"/>
      <c r="G36" s="451"/>
      <c r="H36" s="451"/>
      <c r="I36" s="451"/>
      <c r="J36" s="451"/>
      <c r="K36" s="451"/>
      <c r="L36" s="451"/>
      <c r="M36" s="452"/>
    </row>
    <row r="37" spans="2:13" x14ac:dyDescent="0.25">
      <c r="C37" s="41"/>
      <c r="E37" s="40"/>
      <c r="F37" s="40"/>
      <c r="G37" s="40"/>
      <c r="H37" s="40"/>
      <c r="I37" s="40"/>
      <c r="J37" s="40"/>
      <c r="K37" s="40"/>
      <c r="L37" s="40"/>
      <c r="M37" s="40"/>
    </row>
    <row r="38" spans="2:13" x14ac:dyDescent="0.25">
      <c r="B38" s="102" t="s">
        <v>350</v>
      </c>
      <c r="C38" s="103" t="s">
        <v>79</v>
      </c>
      <c r="D38" s="103" t="s">
        <v>136</v>
      </c>
      <c r="E38" s="445" t="s">
        <v>63</v>
      </c>
      <c r="F38" s="445"/>
      <c r="G38" s="445"/>
      <c r="H38" s="445"/>
      <c r="I38" s="445"/>
      <c r="J38" s="445"/>
      <c r="K38" s="445"/>
      <c r="L38" s="445"/>
      <c r="M38" s="446"/>
    </row>
    <row r="39" spans="2:13" x14ac:dyDescent="0.25">
      <c r="B39" s="109" t="s">
        <v>351</v>
      </c>
      <c r="C39" s="167">
        <v>515</v>
      </c>
      <c r="D39" s="99" t="str">
        <f>CONCATENATE("Euro/",$C$8)</f>
        <v>Euro/kW</v>
      </c>
      <c r="E39" s="447" t="s">
        <v>352</v>
      </c>
      <c r="F39" s="447"/>
      <c r="G39" s="447"/>
      <c r="H39" s="447"/>
      <c r="I39" s="447"/>
      <c r="J39" s="447"/>
      <c r="K39" s="447"/>
      <c r="L39" s="447"/>
      <c r="M39" s="448"/>
    </row>
    <row r="40" spans="2:13" x14ac:dyDescent="0.25">
      <c r="B40" s="109" t="s">
        <v>353</v>
      </c>
      <c r="C40" s="160"/>
      <c r="D40" s="99" t="str">
        <f>CONCATENATE("Euro/",$C$8)</f>
        <v>Euro/kW</v>
      </c>
      <c r="E40" s="447" t="s">
        <v>352</v>
      </c>
      <c r="F40" s="447"/>
      <c r="G40" s="447"/>
      <c r="H40" s="447"/>
      <c r="I40" s="447"/>
      <c r="J40" s="447"/>
      <c r="K40" s="447"/>
      <c r="L40" s="447"/>
      <c r="M40" s="448"/>
    </row>
    <row r="41" spans="2:13" x14ac:dyDescent="0.25">
      <c r="B41" s="96" t="s">
        <v>354</v>
      </c>
      <c r="C41" s="140">
        <f>IF(C103&lt;&gt;0,((C21*C39+SUM(C26,C28)*C40)+C103)/1000000,((C21*C39+SUM(C26,C28)*C40)*(1+D104*C92))/1000000)</f>
        <v>5.188625</v>
      </c>
      <c r="D41" s="99" t="s">
        <v>355</v>
      </c>
      <c r="E41" s="453"/>
      <c r="F41" s="447"/>
      <c r="G41" s="447"/>
      <c r="H41" s="447"/>
      <c r="I41" s="447"/>
      <c r="J41" s="447"/>
      <c r="K41" s="447"/>
      <c r="L41" s="447"/>
      <c r="M41" s="448"/>
    </row>
    <row r="42" spans="2:13" x14ac:dyDescent="0.25">
      <c r="B42" s="109" t="s">
        <v>356</v>
      </c>
      <c r="C42" s="165">
        <v>17.899999999999999</v>
      </c>
      <c r="D42" s="99" t="str">
        <f>CONCATENATE("Euro/",$C$8,"/jaar")</f>
        <v>Euro/kW/jaar</v>
      </c>
      <c r="E42" s="447" t="s">
        <v>357</v>
      </c>
      <c r="F42" s="447"/>
      <c r="G42" s="447"/>
      <c r="H42" s="447"/>
      <c r="I42" s="447"/>
      <c r="J42" s="447"/>
      <c r="K42" s="447"/>
      <c r="L42" s="447"/>
      <c r="M42" s="448"/>
    </row>
    <row r="43" spans="2:13" x14ac:dyDescent="0.25">
      <c r="B43" s="109" t="s">
        <v>358</v>
      </c>
      <c r="C43" s="165"/>
      <c r="D43" s="99" t="str">
        <f>CONCATENATE("Euro/",$C$8,"/jaar")</f>
        <v>Euro/kW/jaar</v>
      </c>
      <c r="E43" s="447" t="s">
        <v>357</v>
      </c>
      <c r="F43" s="447"/>
      <c r="G43" s="447"/>
      <c r="H43" s="447"/>
      <c r="I43" s="447"/>
      <c r="J43" s="447"/>
      <c r="K43" s="447"/>
      <c r="L43" s="447"/>
      <c r="M43" s="448"/>
    </row>
    <row r="44" spans="2:13" x14ac:dyDescent="0.25">
      <c r="B44" s="96" t="s">
        <v>359</v>
      </c>
      <c r="C44" s="141">
        <f>(C42*C21+C43*SUM(C26,C28))/1000</f>
        <v>179</v>
      </c>
      <c r="D44" s="99" t="s">
        <v>360</v>
      </c>
      <c r="E44" s="453" t="s">
        <v>361</v>
      </c>
      <c r="F44" s="447"/>
      <c r="G44" s="447"/>
      <c r="H44" s="447"/>
      <c r="I44" s="447"/>
      <c r="J44" s="447"/>
      <c r="K44" s="447"/>
      <c r="L44" s="447"/>
      <c r="M44" s="448"/>
    </row>
    <row r="45" spans="2:13" x14ac:dyDescent="0.25">
      <c r="B45" s="96" t="s">
        <v>362</v>
      </c>
      <c r="C45" s="170"/>
      <c r="D45" s="99" t="str">
        <f>CONCATENATE("Euro/",$C$7)</f>
        <v>Euro/kWh</v>
      </c>
      <c r="E45" s="447" t="str">
        <f>CONCATENATE("Het betreft de inkoopkosten voor elektriciteit, per ", $C$7," output")</f>
        <v>Het betreft de inkoopkosten voor elektriciteit, per kWh output</v>
      </c>
      <c r="F45" s="447"/>
      <c r="G45" s="447"/>
      <c r="H45" s="447"/>
      <c r="I45" s="447"/>
      <c r="J45" s="447"/>
      <c r="K45" s="447"/>
      <c r="L45" s="447"/>
      <c r="M45" s="448"/>
    </row>
    <row r="46" spans="2:13" x14ac:dyDescent="0.25">
      <c r="B46" s="96" t="s">
        <v>363</v>
      </c>
      <c r="C46" s="170"/>
      <c r="D46" s="99" t="str">
        <f>CONCATENATE("Euro/",$C$7)</f>
        <v>Euro/kWh</v>
      </c>
      <c r="E46" s="447" t="str">
        <f>CONCATENATE("Het betreft de inkoopkosten voor gas, per ", $C$7," output")</f>
        <v>Het betreft de inkoopkosten voor gas, per kWh output</v>
      </c>
      <c r="F46" s="447"/>
      <c r="G46" s="447"/>
      <c r="H46" s="447"/>
      <c r="I46" s="447"/>
      <c r="J46" s="447"/>
      <c r="K46" s="447"/>
      <c r="L46" s="447"/>
      <c r="M46" s="448"/>
    </row>
    <row r="47" spans="2:13" x14ac:dyDescent="0.25">
      <c r="B47" s="96" t="s">
        <v>364</v>
      </c>
      <c r="C47" s="170"/>
      <c r="D47" s="99" t="str">
        <f>CONCATENATE("Euro/",$C$7)</f>
        <v>Euro/kWh</v>
      </c>
      <c r="E47" s="447" t="str">
        <f>CONCATENATE("Het betreft de inkoopkosten voor warmte, per ", $C$7," output")</f>
        <v>Het betreft de inkoopkosten voor warmte, per kWh output</v>
      </c>
      <c r="F47" s="447"/>
      <c r="G47" s="447"/>
      <c r="H47" s="447"/>
      <c r="I47" s="447"/>
      <c r="J47" s="447"/>
      <c r="K47" s="447"/>
      <c r="L47" s="447"/>
      <c r="M47" s="448"/>
    </row>
    <row r="48" spans="2:13" x14ac:dyDescent="0.25">
      <c r="B48" s="96" t="s">
        <v>365</v>
      </c>
      <c r="C48" s="170">
        <v>2.8999999999999998E-3</v>
      </c>
      <c r="D48" s="99" t="str">
        <f>CONCATENATE("Euro/",$C$7)</f>
        <v>Euro/kWh</v>
      </c>
      <c r="E48" s="447"/>
      <c r="F48" s="447"/>
      <c r="G48" s="447"/>
      <c r="H48" s="447"/>
      <c r="I48" s="447"/>
      <c r="J48" s="447"/>
      <c r="K48" s="447"/>
      <c r="L48" s="447"/>
      <c r="M48" s="448"/>
    </row>
    <row r="49" spans="2:13" x14ac:dyDescent="0.25">
      <c r="B49" s="97" t="s">
        <v>366</v>
      </c>
      <c r="C49" s="142">
        <f>SUM(C45:C48)</f>
        <v>2.8999999999999998E-3</v>
      </c>
      <c r="D49" s="107" t="str">
        <f>CONCATENATE("Euro/",$C$7)</f>
        <v>Euro/kWh</v>
      </c>
      <c r="E49" s="454"/>
      <c r="F49" s="451"/>
      <c r="G49" s="451"/>
      <c r="H49" s="451"/>
      <c r="I49" s="451"/>
      <c r="J49" s="451"/>
      <c r="K49" s="451"/>
      <c r="L49" s="451"/>
      <c r="M49" s="452"/>
    </row>
    <row r="50" spans="2:13" x14ac:dyDescent="0.25">
      <c r="C50" s="41"/>
      <c r="E50" s="40"/>
      <c r="F50" s="40"/>
      <c r="G50" s="40"/>
      <c r="H50" s="40"/>
      <c r="I50" s="40"/>
      <c r="J50" s="40"/>
      <c r="K50" s="40"/>
      <c r="L50" s="40"/>
      <c r="M50" s="40"/>
    </row>
    <row r="51" spans="2:13" x14ac:dyDescent="0.25">
      <c r="B51" s="110" t="s">
        <v>367</v>
      </c>
      <c r="C51" s="103" t="s">
        <v>79</v>
      </c>
      <c r="D51" s="103" t="s">
        <v>136</v>
      </c>
      <c r="E51" s="445" t="s">
        <v>63</v>
      </c>
      <c r="F51" s="445"/>
      <c r="G51" s="445"/>
      <c r="H51" s="445"/>
      <c r="I51" s="445"/>
      <c r="J51" s="445"/>
      <c r="K51" s="445"/>
      <c r="L51" s="445"/>
      <c r="M51" s="446"/>
    </row>
    <row r="52" spans="2:13" x14ac:dyDescent="0.25">
      <c r="B52" s="96" t="s">
        <v>368</v>
      </c>
      <c r="C52" s="163"/>
      <c r="D52" s="99" t="s">
        <v>369</v>
      </c>
      <c r="E52" s="447"/>
      <c r="F52" s="447"/>
      <c r="G52" s="447"/>
      <c r="H52" s="447"/>
      <c r="I52" s="447"/>
      <c r="J52" s="447"/>
      <c r="K52" s="447"/>
      <c r="L52" s="447"/>
      <c r="M52" s="448"/>
    </row>
    <row r="53" spans="2:13" x14ac:dyDescent="0.25">
      <c r="B53" s="96" t="s">
        <v>370</v>
      </c>
      <c r="C53" s="137">
        <f>IF(C52=0,,C21*MAX(C29,C30)*C180/C52/1000)</f>
        <v>0</v>
      </c>
      <c r="D53" s="99" t="s">
        <v>371</v>
      </c>
      <c r="E53" s="455"/>
      <c r="F53" s="455"/>
      <c r="G53" s="455"/>
      <c r="H53" s="455"/>
      <c r="I53" s="455"/>
      <c r="J53" s="455"/>
      <c r="K53" s="455"/>
      <c r="L53" s="455"/>
      <c r="M53" s="456"/>
    </row>
    <row r="54" spans="2:13" x14ac:dyDescent="0.25">
      <c r="B54" s="96" t="s">
        <v>372</v>
      </c>
      <c r="C54" s="171"/>
      <c r="D54" s="99" t="s">
        <v>373</v>
      </c>
      <c r="E54" s="447" t="s">
        <v>374</v>
      </c>
      <c r="F54" s="447"/>
      <c r="G54" s="447"/>
      <c r="H54" s="447"/>
      <c r="I54" s="447"/>
      <c r="J54" s="447"/>
      <c r="K54" s="447"/>
      <c r="L54" s="447"/>
      <c r="M54" s="448"/>
    </row>
    <row r="55" spans="2:13" x14ac:dyDescent="0.25">
      <c r="B55" s="96" t="s">
        <v>375</v>
      </c>
      <c r="C55" s="171"/>
      <c r="D55" s="99" t="str">
        <f>CONCATENATE("kWh/",$C$7)</f>
        <v>kWh/kWh</v>
      </c>
      <c r="E55" s="447"/>
      <c r="F55" s="447"/>
      <c r="G55" s="447"/>
      <c r="H55" s="447"/>
      <c r="I55" s="447"/>
      <c r="J55" s="447"/>
      <c r="K55" s="447"/>
      <c r="L55" s="447"/>
      <c r="M55" s="448"/>
    </row>
    <row r="56" spans="2:13" x14ac:dyDescent="0.25">
      <c r="B56" s="96" t="s">
        <v>376</v>
      </c>
      <c r="C56" s="137">
        <f>IF(C55=0,,MAX(C26,C28)*MAX(C29,C30)*C55*10^(-3))</f>
        <v>0</v>
      </c>
      <c r="D56" s="99" t="s">
        <v>377</v>
      </c>
      <c r="E56" s="447"/>
      <c r="F56" s="447"/>
      <c r="G56" s="447"/>
      <c r="H56" s="447"/>
      <c r="I56" s="447"/>
      <c r="J56" s="447"/>
      <c r="K56" s="447"/>
      <c r="L56" s="447"/>
      <c r="M56" s="448"/>
    </row>
    <row r="57" spans="2:13" x14ac:dyDescent="0.25">
      <c r="B57" s="96" t="s">
        <v>378</v>
      </c>
      <c r="C57" s="171"/>
      <c r="D57" s="99" t="str">
        <f>CONCATENATE("kWh/",$C$7)</f>
        <v>kWh/kWh</v>
      </c>
      <c r="E57" s="447"/>
      <c r="F57" s="447"/>
      <c r="G57" s="447"/>
      <c r="H57" s="447"/>
      <c r="I57" s="447"/>
      <c r="J57" s="447"/>
      <c r="K57" s="447"/>
      <c r="L57" s="447"/>
      <c r="M57" s="448"/>
    </row>
    <row r="58" spans="2:13" x14ac:dyDescent="0.25">
      <c r="B58" s="96" t="s">
        <v>379</v>
      </c>
      <c r="C58" s="137">
        <f>IF(C57=0,,MAX($C$26,$C$28)*MAX($C$29,$C$30)*C57/1000)</f>
        <v>0</v>
      </c>
      <c r="D58" s="99" t="s">
        <v>377</v>
      </c>
      <c r="E58" s="447"/>
      <c r="F58" s="447"/>
      <c r="G58" s="447"/>
      <c r="H58" s="447"/>
      <c r="I58" s="447"/>
      <c r="J58" s="447"/>
      <c r="K58" s="447"/>
      <c r="L58" s="447"/>
      <c r="M58" s="448"/>
    </row>
    <row r="59" spans="2:13" x14ac:dyDescent="0.25">
      <c r="B59" s="96" t="s">
        <v>380</v>
      </c>
      <c r="C59" s="171"/>
      <c r="D59" s="99" t="str">
        <f>CONCATENATE("kWh/",$C$7)</f>
        <v>kWh/kWh</v>
      </c>
      <c r="E59" s="447"/>
      <c r="F59" s="447"/>
      <c r="G59" s="447"/>
      <c r="H59" s="447"/>
      <c r="I59" s="447"/>
      <c r="J59" s="447"/>
      <c r="K59" s="447"/>
      <c r="L59" s="447"/>
      <c r="M59" s="448"/>
    </row>
    <row r="60" spans="2:13" x14ac:dyDescent="0.25">
      <c r="B60" s="97" t="s">
        <v>381</v>
      </c>
      <c r="C60" s="143">
        <f>IF(C59=0,,MAX($C$26,$C$28)*MAX($C$29,$C$30)*C59/1000)</f>
        <v>0</v>
      </c>
      <c r="D60" s="107" t="s">
        <v>377</v>
      </c>
      <c r="E60" s="451"/>
      <c r="F60" s="451"/>
      <c r="G60" s="451"/>
      <c r="H60" s="451"/>
      <c r="I60" s="451"/>
      <c r="J60" s="451"/>
      <c r="K60" s="451"/>
      <c r="L60" s="451"/>
      <c r="M60" s="452"/>
    </row>
    <row r="61" spans="2:13" x14ac:dyDescent="0.25">
      <c r="C61" s="41"/>
      <c r="E61" s="40"/>
      <c r="F61" s="40"/>
      <c r="G61" s="40"/>
      <c r="H61" s="40"/>
      <c r="I61" s="40"/>
      <c r="J61" s="40"/>
      <c r="K61" s="40"/>
      <c r="L61" s="40"/>
      <c r="M61" s="40"/>
    </row>
    <row r="62" spans="2:13" x14ac:dyDescent="0.25">
      <c r="B62" s="110" t="s">
        <v>382</v>
      </c>
      <c r="C62" s="103" t="s">
        <v>79</v>
      </c>
      <c r="D62" s="103" t="s">
        <v>136</v>
      </c>
      <c r="E62" s="445" t="s">
        <v>63</v>
      </c>
      <c r="F62" s="445"/>
      <c r="G62" s="445"/>
      <c r="H62" s="445"/>
      <c r="I62" s="445"/>
      <c r="J62" s="445"/>
      <c r="K62" s="445"/>
      <c r="L62" s="445"/>
      <c r="M62" s="446"/>
    </row>
    <row r="63" spans="2:13" x14ac:dyDescent="0.25">
      <c r="B63" s="96" t="s">
        <v>383</v>
      </c>
      <c r="C63" s="176"/>
      <c r="D63" s="99" t="str">
        <f>IF(AND(C26&gt;0,C23=""),CONCATENATE("kg CO2/",$C$7),"kg CO2/kWh")</f>
        <v>kg CO2/kWh</v>
      </c>
      <c r="E63" s="447"/>
      <c r="F63" s="447"/>
      <c r="G63" s="447"/>
      <c r="H63" s="447"/>
      <c r="I63" s="447"/>
      <c r="J63" s="447"/>
      <c r="K63" s="447"/>
      <c r="L63" s="447"/>
      <c r="M63" s="448"/>
    </row>
    <row r="64" spans="2:13" x14ac:dyDescent="0.25">
      <c r="B64" s="96" t="s">
        <v>384</v>
      </c>
      <c r="C64" s="176">
        <v>4.8000000000000001E-2</v>
      </c>
      <c r="D64" s="99" t="str">
        <f>IF(C28&gt;0,CONCATENATE("kg CO2/",$C$7),"kg CO2/kWh")</f>
        <v>kg CO2/kWh</v>
      </c>
      <c r="E64" s="447"/>
      <c r="F64" s="447"/>
      <c r="G64" s="447"/>
      <c r="H64" s="447"/>
      <c r="I64" s="447"/>
      <c r="J64" s="447"/>
      <c r="K64" s="447"/>
      <c r="L64" s="447"/>
      <c r="M64" s="448"/>
    </row>
    <row r="65" spans="2:13" x14ac:dyDescent="0.25">
      <c r="B65" s="96" t="s">
        <v>385</v>
      </c>
      <c r="C65" s="176"/>
      <c r="D65" s="99" t="str">
        <f>IF(C23="Ja",CONCATENATE("kg CO2/",$C$7),"kg CO2/kWh")</f>
        <v>kg CO2/kWh</v>
      </c>
      <c r="E65" s="447"/>
      <c r="F65" s="447"/>
      <c r="G65" s="447"/>
      <c r="H65" s="447"/>
      <c r="I65" s="447"/>
      <c r="J65" s="447"/>
      <c r="K65" s="447"/>
      <c r="L65" s="447"/>
      <c r="M65" s="448"/>
    </row>
    <row r="66" spans="2:13" x14ac:dyDescent="0.25">
      <c r="B66" s="96" t="s">
        <v>386</v>
      </c>
      <c r="C66" s="171"/>
      <c r="D66" s="99" t="s">
        <v>387</v>
      </c>
      <c r="E66" s="447" t="s">
        <v>388</v>
      </c>
      <c r="F66" s="447"/>
      <c r="G66" s="447"/>
      <c r="H66" s="447"/>
      <c r="I66" s="447"/>
      <c r="J66" s="447"/>
      <c r="K66" s="447"/>
      <c r="L66" s="447"/>
      <c r="M66" s="448"/>
    </row>
    <row r="67" spans="2:13" x14ac:dyDescent="0.25">
      <c r="B67" s="96" t="s">
        <v>389</v>
      </c>
      <c r="C67" s="177"/>
      <c r="D67" s="99" t="s">
        <v>390</v>
      </c>
      <c r="E67" s="447"/>
      <c r="F67" s="447"/>
      <c r="G67" s="447"/>
      <c r="H67" s="447"/>
      <c r="I67" s="447"/>
      <c r="J67" s="447"/>
      <c r="K67" s="447"/>
      <c r="L67" s="447"/>
      <c r="M67" s="448"/>
    </row>
    <row r="68" spans="2:13" x14ac:dyDescent="0.25">
      <c r="B68" s="96" t="s">
        <v>391</v>
      </c>
      <c r="C68" s="177"/>
      <c r="D68" s="99" t="s">
        <v>390</v>
      </c>
      <c r="E68" s="447"/>
      <c r="F68" s="447"/>
      <c r="G68" s="447"/>
      <c r="H68" s="447"/>
      <c r="I68" s="447"/>
      <c r="J68" s="447"/>
      <c r="K68" s="447"/>
      <c r="L68" s="447"/>
      <c r="M68" s="448"/>
    </row>
    <row r="69" spans="2:13" x14ac:dyDescent="0.25">
      <c r="B69" s="96" t="s">
        <v>392</v>
      </c>
      <c r="C69" s="177"/>
      <c r="D69" s="99" t="s">
        <v>390</v>
      </c>
      <c r="E69" s="447"/>
      <c r="F69" s="447"/>
      <c r="G69" s="447"/>
      <c r="H69" s="447"/>
      <c r="I69" s="447"/>
      <c r="J69" s="447"/>
      <c r="K69" s="447"/>
      <c r="L69" s="447"/>
      <c r="M69" s="448"/>
    </row>
    <row r="70" spans="2:13" x14ac:dyDescent="0.25">
      <c r="B70" s="111" t="s">
        <v>393</v>
      </c>
      <c r="C70" s="144">
        <f>ROUND((IF($C$23="Ja",$C$65,($C$64*IF($C$17&gt;0,1/$C$17,1)*$C$28*$C$30+$C$63*$C$26*$C$29)/($C$28*$C$30+$C$26*$C$29))-$C$55*$C$68-$C$57*$C$67-$C$69*$C$59+(-$C$53*$C$66)/(($C$28*$C$30)+($C$26*$C$29)))*C86,4)</f>
        <v>6.2899999999999998E-2</v>
      </c>
      <c r="D70" s="107" t="str">
        <f>CONCATENATE("kg CO2/",$C$7)</f>
        <v>kg CO2/kWh</v>
      </c>
      <c r="E70" s="451"/>
      <c r="F70" s="451"/>
      <c r="G70" s="451"/>
      <c r="H70" s="451"/>
      <c r="I70" s="451"/>
      <c r="J70" s="451"/>
      <c r="K70" s="451"/>
      <c r="L70" s="451"/>
      <c r="M70" s="452"/>
    </row>
    <row r="71" spans="2:13" x14ac:dyDescent="0.25">
      <c r="C71" s="41"/>
      <c r="E71" s="40"/>
      <c r="F71" s="40"/>
      <c r="G71" s="40"/>
      <c r="H71" s="40"/>
      <c r="I71" s="40"/>
      <c r="J71" s="40"/>
      <c r="K71" s="40"/>
      <c r="L71" s="40"/>
      <c r="M71" s="40"/>
    </row>
    <row r="72" spans="2:13" x14ac:dyDescent="0.25">
      <c r="B72" s="110" t="s">
        <v>394</v>
      </c>
      <c r="C72" s="103" t="s">
        <v>79</v>
      </c>
      <c r="D72" s="103" t="s">
        <v>136</v>
      </c>
      <c r="E72" s="445" t="s">
        <v>63</v>
      </c>
      <c r="F72" s="445"/>
      <c r="G72" s="445"/>
      <c r="H72" s="445"/>
      <c r="I72" s="445"/>
      <c r="J72" s="445"/>
      <c r="K72" s="445"/>
      <c r="L72" s="445"/>
      <c r="M72" s="446"/>
    </row>
    <row r="73" spans="2:13" x14ac:dyDescent="0.25">
      <c r="B73" s="96" t="s">
        <v>395</v>
      </c>
      <c r="C73" s="172">
        <v>20</v>
      </c>
      <c r="D73" s="99" t="s">
        <v>396</v>
      </c>
      <c r="E73" s="447" t="s">
        <v>397</v>
      </c>
      <c r="F73" s="447"/>
      <c r="G73" s="447"/>
      <c r="H73" s="447"/>
      <c r="I73" s="447"/>
      <c r="J73" s="447"/>
      <c r="K73" s="447"/>
      <c r="L73" s="447"/>
      <c r="M73" s="448"/>
    </row>
    <row r="74" spans="2:13" x14ac:dyDescent="0.25">
      <c r="B74" s="112" t="s">
        <v>398</v>
      </c>
      <c r="C74" s="178">
        <v>15</v>
      </c>
      <c r="D74" s="99" t="s">
        <v>396</v>
      </c>
      <c r="E74" s="447"/>
      <c r="F74" s="447"/>
      <c r="G74" s="447"/>
      <c r="H74" s="447"/>
      <c r="I74" s="447"/>
      <c r="J74" s="447"/>
      <c r="K74" s="447"/>
      <c r="L74" s="447"/>
      <c r="M74" s="448"/>
    </row>
    <row r="75" spans="2:13" x14ac:dyDescent="0.25">
      <c r="B75" s="112" t="s">
        <v>399</v>
      </c>
      <c r="C75" s="178">
        <v>15</v>
      </c>
      <c r="D75" s="99" t="s">
        <v>396</v>
      </c>
      <c r="E75" s="447"/>
      <c r="F75" s="447"/>
      <c r="G75" s="447"/>
      <c r="H75" s="447"/>
      <c r="I75" s="447"/>
      <c r="J75" s="447"/>
      <c r="K75" s="447"/>
      <c r="L75" s="447"/>
      <c r="M75" s="448"/>
    </row>
    <row r="76" spans="2:13" x14ac:dyDescent="0.25">
      <c r="B76" s="112" t="s">
        <v>400</v>
      </c>
      <c r="C76" s="178">
        <v>15</v>
      </c>
      <c r="D76" s="99" t="s">
        <v>396</v>
      </c>
      <c r="E76" s="447"/>
      <c r="F76" s="447"/>
      <c r="G76" s="447"/>
      <c r="H76" s="447"/>
      <c r="I76" s="447"/>
      <c r="J76" s="447"/>
      <c r="K76" s="447"/>
      <c r="L76" s="447"/>
      <c r="M76" s="448"/>
    </row>
    <row r="77" spans="2:13" x14ac:dyDescent="0.25">
      <c r="B77" s="97" t="s">
        <v>401</v>
      </c>
      <c r="C77" s="168"/>
      <c r="D77" s="107" t="s">
        <v>396</v>
      </c>
      <c r="E77" s="451" t="s">
        <v>402</v>
      </c>
      <c r="F77" s="451"/>
      <c r="G77" s="451"/>
      <c r="H77" s="451"/>
      <c r="I77" s="451"/>
      <c r="J77" s="451"/>
      <c r="K77" s="451"/>
      <c r="L77" s="451"/>
      <c r="M77" s="452"/>
    </row>
    <row r="78" spans="2:13" x14ac:dyDescent="0.25">
      <c r="C78" s="41"/>
      <c r="E78" s="40"/>
      <c r="F78" s="40"/>
      <c r="G78" s="40"/>
      <c r="H78" s="40"/>
      <c r="I78" s="40"/>
      <c r="J78" s="40"/>
      <c r="K78" s="40"/>
      <c r="L78" s="40"/>
      <c r="M78" s="40"/>
    </row>
    <row r="79" spans="2:13" x14ac:dyDescent="0.25">
      <c r="B79" s="110" t="s">
        <v>403</v>
      </c>
      <c r="C79" s="103" t="s">
        <v>79</v>
      </c>
      <c r="D79" s="103" t="s">
        <v>136</v>
      </c>
      <c r="E79" s="445" t="s">
        <v>63</v>
      </c>
      <c r="F79" s="445"/>
      <c r="G79" s="445"/>
      <c r="H79" s="445"/>
      <c r="I79" s="445"/>
      <c r="J79" s="445"/>
      <c r="K79" s="445"/>
      <c r="L79" s="445"/>
      <c r="M79" s="446"/>
    </row>
    <row r="80" spans="2:13" x14ac:dyDescent="0.25">
      <c r="B80" s="96" t="s">
        <v>404</v>
      </c>
      <c r="C80" s="42">
        <v>5.45E-2</v>
      </c>
      <c r="D80" s="99" t="s">
        <v>406</v>
      </c>
      <c r="E80" s="447" t="s">
        <v>407</v>
      </c>
      <c r="F80" s="447"/>
      <c r="G80" s="447"/>
      <c r="H80" s="447"/>
      <c r="I80" s="447"/>
      <c r="J80" s="447"/>
      <c r="K80" s="447"/>
      <c r="L80" s="447"/>
      <c r="M80" s="448"/>
    </row>
    <row r="81" spans="2:13" x14ac:dyDescent="0.25">
      <c r="B81" s="96" t="s">
        <v>408</v>
      </c>
      <c r="C81" s="171">
        <v>690</v>
      </c>
      <c r="D81" s="99" t="s">
        <v>340</v>
      </c>
      <c r="E81" s="447"/>
      <c r="F81" s="447"/>
      <c r="G81" s="447"/>
      <c r="H81" s="447"/>
      <c r="I81" s="447"/>
      <c r="J81" s="447"/>
      <c r="K81" s="447"/>
      <c r="L81" s="447"/>
      <c r="M81" s="448"/>
    </row>
    <row r="82" spans="2:13" x14ac:dyDescent="0.25">
      <c r="B82" s="96" t="s">
        <v>410</v>
      </c>
      <c r="C82" s="42"/>
      <c r="D82" s="99" t="s">
        <v>406</v>
      </c>
      <c r="E82" s="447"/>
      <c r="F82" s="447"/>
      <c r="G82" s="447"/>
      <c r="H82" s="447"/>
      <c r="I82" s="447"/>
      <c r="J82" s="447"/>
      <c r="K82" s="447"/>
      <c r="L82" s="447"/>
      <c r="M82" s="448"/>
    </row>
    <row r="83" spans="2:13" x14ac:dyDescent="0.25">
      <c r="B83" s="96" t="s">
        <v>411</v>
      </c>
      <c r="C83" s="171"/>
      <c r="D83" s="99" t="s">
        <v>340</v>
      </c>
      <c r="E83" s="447"/>
      <c r="F83" s="447"/>
      <c r="G83" s="447"/>
      <c r="H83" s="447"/>
      <c r="I83" s="447"/>
      <c r="J83" s="447"/>
      <c r="K83" s="447"/>
      <c r="L83" s="447"/>
      <c r="M83" s="448"/>
    </row>
    <row r="84" spans="2:13" x14ac:dyDescent="0.25">
      <c r="B84" s="96" t="s">
        <v>412</v>
      </c>
      <c r="C84" s="145">
        <f>SUM(E118:INDEX(E118:AR118,1,C76))</f>
        <v>111000000</v>
      </c>
      <c r="D84" s="98" t="str">
        <f>C7</f>
        <v>kWh</v>
      </c>
      <c r="E84" s="447"/>
      <c r="F84" s="447"/>
      <c r="G84" s="447"/>
      <c r="H84" s="447"/>
      <c r="I84" s="447"/>
      <c r="J84" s="447"/>
      <c r="K84" s="447"/>
      <c r="L84" s="447"/>
      <c r="M84" s="448"/>
    </row>
    <row r="85" spans="2:13" x14ac:dyDescent="0.25">
      <c r="B85" s="113" t="s">
        <v>413</v>
      </c>
      <c r="C85" s="145">
        <f>IF(C77=0,SUM(E118:INDEX(E118:AR118,1,C73)),SUM(E118:INDEX(E118:AR118,1,C77)))</f>
        <v>145500000</v>
      </c>
      <c r="D85" s="98" t="str">
        <f>C7</f>
        <v>kWh</v>
      </c>
      <c r="E85" s="447"/>
      <c r="F85" s="447"/>
      <c r="G85" s="447"/>
      <c r="H85" s="447"/>
      <c r="I85" s="447"/>
      <c r="J85" s="447"/>
      <c r="K85" s="447"/>
      <c r="L85" s="447"/>
      <c r="M85" s="448"/>
    </row>
    <row r="86" spans="2:13" x14ac:dyDescent="0.25">
      <c r="B86" s="114" t="s">
        <v>414</v>
      </c>
      <c r="C86" s="146">
        <f>C85/C84</f>
        <v>1.3108108108108107</v>
      </c>
      <c r="D86" s="107"/>
      <c r="E86" s="451"/>
      <c r="F86" s="451"/>
      <c r="G86" s="451"/>
      <c r="H86" s="451"/>
      <c r="I86" s="451"/>
      <c r="J86" s="451"/>
      <c r="K86" s="451"/>
      <c r="L86" s="451"/>
      <c r="M86" s="452"/>
    </row>
    <row r="87" spans="2:13" x14ac:dyDescent="0.25">
      <c r="C87" s="41"/>
      <c r="E87" s="40"/>
      <c r="F87" s="40"/>
      <c r="G87" s="40"/>
      <c r="H87" s="40"/>
      <c r="I87" s="40"/>
      <c r="J87" s="40"/>
      <c r="K87" s="40"/>
      <c r="L87" s="40"/>
      <c r="M87" s="40"/>
    </row>
    <row r="88" spans="2:13" x14ac:dyDescent="0.25">
      <c r="B88" s="110" t="s">
        <v>415</v>
      </c>
      <c r="C88" s="103" t="s">
        <v>79</v>
      </c>
      <c r="D88" s="103" t="s">
        <v>136</v>
      </c>
      <c r="E88" s="445" t="s">
        <v>63</v>
      </c>
      <c r="F88" s="445"/>
      <c r="G88" s="445"/>
      <c r="H88" s="445"/>
      <c r="I88" s="445"/>
      <c r="J88" s="445"/>
      <c r="K88" s="445"/>
      <c r="L88" s="445"/>
      <c r="M88" s="446"/>
    </row>
    <row r="89" spans="2:13" x14ac:dyDescent="0.25">
      <c r="B89" s="96" t="s">
        <v>416</v>
      </c>
      <c r="C89" s="44">
        <v>0.02</v>
      </c>
      <c r="D89" s="99"/>
      <c r="E89" s="447"/>
      <c r="F89" s="447"/>
      <c r="G89" s="447"/>
      <c r="H89" s="447"/>
      <c r="I89" s="447"/>
      <c r="J89" s="447"/>
      <c r="K89" s="447"/>
      <c r="L89" s="447"/>
      <c r="M89" s="448"/>
    </row>
    <row r="90" spans="2:13" x14ac:dyDescent="0.25">
      <c r="B90" s="96" t="s">
        <v>417</v>
      </c>
      <c r="C90" s="45">
        <v>0.04</v>
      </c>
      <c r="D90" s="99"/>
      <c r="E90" s="447"/>
      <c r="F90" s="447"/>
      <c r="G90" s="447"/>
      <c r="H90" s="447"/>
      <c r="I90" s="447"/>
      <c r="J90" s="447"/>
      <c r="K90" s="447"/>
      <c r="L90" s="447"/>
      <c r="M90" s="448"/>
    </row>
    <row r="91" spans="2:13" x14ac:dyDescent="0.25">
      <c r="B91" s="96" t="s">
        <v>418</v>
      </c>
      <c r="C91" s="45">
        <v>6.5000000000000002E-2</v>
      </c>
      <c r="D91" s="99"/>
      <c r="E91" s="447"/>
      <c r="F91" s="447"/>
      <c r="G91" s="447"/>
      <c r="H91" s="447"/>
      <c r="I91" s="447"/>
      <c r="J91" s="447"/>
      <c r="K91" s="447"/>
      <c r="L91" s="447"/>
      <c r="M91" s="448"/>
    </row>
    <row r="92" spans="2:13" x14ac:dyDescent="0.25">
      <c r="B92" s="112" t="s">
        <v>419</v>
      </c>
      <c r="C92" s="139">
        <f>100%-C93</f>
        <v>0.75</v>
      </c>
      <c r="D92" s="99"/>
      <c r="E92" s="447"/>
      <c r="F92" s="447"/>
      <c r="G92" s="447"/>
      <c r="H92" s="447"/>
      <c r="I92" s="447"/>
      <c r="J92" s="447"/>
      <c r="K92" s="447"/>
      <c r="L92" s="447"/>
      <c r="M92" s="448"/>
    </row>
    <row r="93" spans="2:13" x14ac:dyDescent="0.25">
      <c r="B93" s="96" t="s">
        <v>420</v>
      </c>
      <c r="C93" s="46">
        <v>0.25</v>
      </c>
      <c r="D93" s="99"/>
      <c r="E93" s="447"/>
      <c r="F93" s="447"/>
      <c r="G93" s="447"/>
      <c r="H93" s="447"/>
      <c r="I93" s="447"/>
      <c r="J93" s="447"/>
      <c r="K93" s="447"/>
      <c r="L93" s="447"/>
      <c r="M93" s="448"/>
    </row>
    <row r="94" spans="2:13" x14ac:dyDescent="0.25">
      <c r="B94" s="114" t="s">
        <v>421</v>
      </c>
      <c r="C94" s="47">
        <v>0.19</v>
      </c>
      <c r="D94" s="107"/>
      <c r="E94" s="451"/>
      <c r="F94" s="451"/>
      <c r="G94" s="451"/>
      <c r="H94" s="451"/>
      <c r="I94" s="451"/>
      <c r="J94" s="451"/>
      <c r="K94" s="451"/>
      <c r="L94" s="451"/>
      <c r="M94" s="452"/>
    </row>
    <row r="95" spans="2:13" x14ac:dyDescent="0.25">
      <c r="C95" s="41"/>
      <c r="E95" s="40"/>
      <c r="F95" s="40"/>
      <c r="G95" s="40"/>
      <c r="H95" s="40"/>
      <c r="I95" s="40"/>
      <c r="J95" s="40"/>
      <c r="K95" s="40"/>
      <c r="L95" s="40"/>
      <c r="M95" s="40"/>
    </row>
    <row r="96" spans="2:13" x14ac:dyDescent="0.25">
      <c r="B96" s="110" t="s">
        <v>422</v>
      </c>
      <c r="C96" s="103" t="s">
        <v>79</v>
      </c>
      <c r="D96" s="103" t="s">
        <v>136</v>
      </c>
      <c r="E96" s="445" t="s">
        <v>63</v>
      </c>
      <c r="F96" s="445"/>
      <c r="G96" s="445"/>
      <c r="H96" s="445"/>
      <c r="I96" s="445"/>
      <c r="J96" s="445"/>
      <c r="K96" s="445"/>
      <c r="L96" s="445"/>
      <c r="M96" s="446"/>
    </row>
    <row r="97" spans="1:44" x14ac:dyDescent="0.25">
      <c r="B97" s="96" t="s">
        <v>423</v>
      </c>
      <c r="C97" s="48"/>
      <c r="D97" s="99" t="s">
        <v>424</v>
      </c>
      <c r="E97" s="447"/>
      <c r="F97" s="447"/>
      <c r="G97" s="447"/>
      <c r="H97" s="447"/>
      <c r="I97" s="447"/>
      <c r="J97" s="447"/>
      <c r="K97" s="447"/>
      <c r="L97" s="447"/>
      <c r="M97" s="448"/>
    </row>
    <row r="98" spans="1:44" x14ac:dyDescent="0.25">
      <c r="B98" s="97" t="s">
        <v>425</v>
      </c>
      <c r="C98" s="49"/>
      <c r="D98" s="107" t="s">
        <v>424</v>
      </c>
      <c r="E98" s="451"/>
      <c r="F98" s="451"/>
      <c r="G98" s="451"/>
      <c r="H98" s="451"/>
      <c r="I98" s="451"/>
      <c r="J98" s="451"/>
      <c r="K98" s="451"/>
      <c r="L98" s="451"/>
      <c r="M98" s="452"/>
    </row>
    <row r="99" spans="1:44" x14ac:dyDescent="0.25">
      <c r="C99" s="41"/>
      <c r="E99" s="40"/>
      <c r="F99" s="40"/>
      <c r="G99" s="40"/>
      <c r="H99" s="40"/>
      <c r="I99" s="40"/>
      <c r="J99" s="40"/>
      <c r="K99" s="40"/>
      <c r="L99" s="40"/>
      <c r="M99" s="40"/>
    </row>
    <row r="100" spans="1:44" x14ac:dyDescent="0.25">
      <c r="B100" s="102" t="s">
        <v>426</v>
      </c>
      <c r="C100" s="103" t="s">
        <v>79</v>
      </c>
      <c r="D100" s="103"/>
      <c r="E100" s="445" t="s">
        <v>63</v>
      </c>
      <c r="F100" s="445"/>
      <c r="G100" s="445"/>
      <c r="H100" s="445"/>
      <c r="I100" s="445"/>
      <c r="J100" s="445"/>
      <c r="K100" s="445"/>
      <c r="L100" s="445"/>
      <c r="M100" s="446"/>
    </row>
    <row r="101" spans="1:44" x14ac:dyDescent="0.25">
      <c r="B101" s="108" t="s">
        <v>79</v>
      </c>
      <c r="C101" s="173">
        <v>13</v>
      </c>
      <c r="D101" s="174">
        <v>-130000</v>
      </c>
      <c r="E101" s="447" t="s">
        <v>504</v>
      </c>
      <c r="F101" s="447"/>
      <c r="G101" s="447"/>
      <c r="H101" s="447"/>
      <c r="I101" s="447"/>
      <c r="J101" s="447"/>
      <c r="K101" s="447"/>
      <c r="L101" s="447"/>
      <c r="M101" s="448"/>
    </row>
    <row r="102" spans="1:44" x14ac:dyDescent="0.25">
      <c r="B102" s="108"/>
      <c r="C102" s="359"/>
      <c r="D102" s="174"/>
      <c r="E102" s="447" t="str">
        <f>"De waarde als reële kosten is gedefinieerd in euro van het jaar "&amp;E106&amp;"."</f>
        <v>De waarde als reële kosten is gedefinieerd in euro van het jaar 2025.</v>
      </c>
      <c r="F102" s="447"/>
      <c r="G102" s="447"/>
      <c r="H102" s="447"/>
      <c r="I102" s="447"/>
      <c r="J102" s="447"/>
      <c r="K102" s="447"/>
      <c r="L102" s="447"/>
      <c r="M102" s="448"/>
    </row>
    <row r="103" spans="1:44" x14ac:dyDescent="0.25">
      <c r="B103" s="108" t="s">
        <v>428</v>
      </c>
      <c r="C103" s="359"/>
      <c r="D103" s="99"/>
      <c r="E103" s="284" t="s">
        <v>429</v>
      </c>
      <c r="F103" s="284"/>
      <c r="G103" s="284"/>
      <c r="H103" s="284"/>
      <c r="I103" s="284"/>
      <c r="J103" s="284"/>
      <c r="K103" s="284"/>
      <c r="L103" s="284"/>
      <c r="M103" s="285"/>
    </row>
    <row r="104" spans="1:44" x14ac:dyDescent="0.25">
      <c r="B104" s="114" t="s">
        <v>430</v>
      </c>
      <c r="C104" s="50">
        <v>0</v>
      </c>
      <c r="D104" s="175">
        <v>0.01</v>
      </c>
      <c r="E104" s="451" t="s">
        <v>431</v>
      </c>
      <c r="F104" s="451"/>
      <c r="G104" s="451"/>
      <c r="H104" s="451"/>
      <c r="I104" s="451"/>
      <c r="J104" s="451"/>
      <c r="K104" s="451"/>
      <c r="L104" s="451"/>
      <c r="M104" s="452"/>
    </row>
    <row r="105" spans="1:44" x14ac:dyDescent="0.25">
      <c r="E105" s="51"/>
    </row>
    <row r="106" spans="1:44" s="52" customFormat="1" x14ac:dyDescent="0.25">
      <c r="A106" s="16"/>
      <c r="B106" s="102" t="s">
        <v>432</v>
      </c>
      <c r="C106" s="103"/>
      <c r="D106" s="103" t="s">
        <v>136</v>
      </c>
      <c r="E106" s="103">
        <f>Colofon!C29</f>
        <v>2025</v>
      </c>
      <c r="F106" s="103">
        <f>E106+1</f>
        <v>2026</v>
      </c>
      <c r="G106" s="103">
        <f t="shared" ref="G106:AR106" si="0">F106+1</f>
        <v>2027</v>
      </c>
      <c r="H106" s="103">
        <f t="shared" si="0"/>
        <v>2028</v>
      </c>
      <c r="I106" s="103">
        <f t="shared" si="0"/>
        <v>2029</v>
      </c>
      <c r="J106" s="103">
        <f t="shared" si="0"/>
        <v>2030</v>
      </c>
      <c r="K106" s="103">
        <f t="shared" si="0"/>
        <v>2031</v>
      </c>
      <c r="L106" s="103">
        <f t="shared" si="0"/>
        <v>2032</v>
      </c>
      <c r="M106" s="103">
        <f t="shared" si="0"/>
        <v>2033</v>
      </c>
      <c r="N106" s="103">
        <f t="shared" si="0"/>
        <v>2034</v>
      </c>
      <c r="O106" s="103">
        <f t="shared" si="0"/>
        <v>2035</v>
      </c>
      <c r="P106" s="103">
        <f t="shared" si="0"/>
        <v>2036</v>
      </c>
      <c r="Q106" s="103">
        <f t="shared" si="0"/>
        <v>2037</v>
      </c>
      <c r="R106" s="103">
        <f t="shared" si="0"/>
        <v>2038</v>
      </c>
      <c r="S106" s="103">
        <f t="shared" si="0"/>
        <v>2039</v>
      </c>
      <c r="T106" s="103">
        <f t="shared" si="0"/>
        <v>2040</v>
      </c>
      <c r="U106" s="103">
        <f t="shared" si="0"/>
        <v>2041</v>
      </c>
      <c r="V106" s="103">
        <f t="shared" si="0"/>
        <v>2042</v>
      </c>
      <c r="W106" s="103">
        <f t="shared" si="0"/>
        <v>2043</v>
      </c>
      <c r="X106" s="103">
        <f t="shared" si="0"/>
        <v>2044</v>
      </c>
      <c r="Y106" s="103">
        <f t="shared" si="0"/>
        <v>2045</v>
      </c>
      <c r="Z106" s="103">
        <f t="shared" si="0"/>
        <v>2046</v>
      </c>
      <c r="AA106" s="103">
        <f t="shared" si="0"/>
        <v>2047</v>
      </c>
      <c r="AB106" s="103">
        <f t="shared" si="0"/>
        <v>2048</v>
      </c>
      <c r="AC106" s="103">
        <f t="shared" si="0"/>
        <v>2049</v>
      </c>
      <c r="AD106" s="103">
        <f t="shared" si="0"/>
        <v>2050</v>
      </c>
      <c r="AE106" s="103">
        <f t="shared" si="0"/>
        <v>2051</v>
      </c>
      <c r="AF106" s="103">
        <f t="shared" si="0"/>
        <v>2052</v>
      </c>
      <c r="AG106" s="103">
        <f t="shared" si="0"/>
        <v>2053</v>
      </c>
      <c r="AH106" s="103">
        <f t="shared" si="0"/>
        <v>2054</v>
      </c>
      <c r="AI106" s="103">
        <f t="shared" si="0"/>
        <v>2055</v>
      </c>
      <c r="AJ106" s="103">
        <f t="shared" si="0"/>
        <v>2056</v>
      </c>
      <c r="AK106" s="103">
        <f t="shared" si="0"/>
        <v>2057</v>
      </c>
      <c r="AL106" s="103">
        <f t="shared" si="0"/>
        <v>2058</v>
      </c>
      <c r="AM106" s="103">
        <f t="shared" si="0"/>
        <v>2059</v>
      </c>
      <c r="AN106" s="103">
        <f t="shared" si="0"/>
        <v>2060</v>
      </c>
      <c r="AO106" s="103">
        <f t="shared" si="0"/>
        <v>2061</v>
      </c>
      <c r="AP106" s="103">
        <f t="shared" si="0"/>
        <v>2062</v>
      </c>
      <c r="AQ106" s="103">
        <f t="shared" si="0"/>
        <v>2063</v>
      </c>
      <c r="AR106" s="128">
        <f t="shared" si="0"/>
        <v>2064</v>
      </c>
    </row>
    <row r="107" spans="1:44" s="53" customFormat="1" ht="13.5" customHeight="1" x14ac:dyDescent="0.35">
      <c r="B107" s="457" t="s">
        <v>433</v>
      </c>
      <c r="C107" s="458"/>
      <c r="D107" s="115" t="str">
        <f>CONCATENATE("Euro/",$C$7)</f>
        <v>Euro/kWh</v>
      </c>
      <c r="E107" s="388"/>
      <c r="F107" s="389">
        <f>IF(F$112&lt;=$C76,$E$107,)</f>
        <v>0</v>
      </c>
      <c r="G107" s="389">
        <f t="shared" ref="G107:AR107" si="1">IF(G$112&lt;=$C76,$E$107,)</f>
        <v>0</v>
      </c>
      <c r="H107" s="389">
        <f t="shared" si="1"/>
        <v>0</v>
      </c>
      <c r="I107" s="389">
        <f t="shared" si="1"/>
        <v>0</v>
      </c>
      <c r="J107" s="389">
        <f t="shared" si="1"/>
        <v>0</v>
      </c>
      <c r="K107" s="389">
        <f t="shared" si="1"/>
        <v>0</v>
      </c>
      <c r="L107" s="389">
        <f t="shared" si="1"/>
        <v>0</v>
      </c>
      <c r="M107" s="389">
        <f t="shared" si="1"/>
        <v>0</v>
      </c>
      <c r="N107" s="389">
        <f t="shared" si="1"/>
        <v>0</v>
      </c>
      <c r="O107" s="389">
        <f t="shared" si="1"/>
        <v>0</v>
      </c>
      <c r="P107" s="389">
        <f t="shared" si="1"/>
        <v>0</v>
      </c>
      <c r="Q107" s="389">
        <f t="shared" si="1"/>
        <v>0</v>
      </c>
      <c r="R107" s="389">
        <f t="shared" si="1"/>
        <v>0</v>
      </c>
      <c r="S107" s="389">
        <f t="shared" si="1"/>
        <v>0</v>
      </c>
      <c r="T107" s="389">
        <f t="shared" si="1"/>
        <v>0</v>
      </c>
      <c r="U107" s="389">
        <f t="shared" si="1"/>
        <v>0</v>
      </c>
      <c r="V107" s="389">
        <f t="shared" si="1"/>
        <v>0</v>
      </c>
      <c r="W107" s="389">
        <f t="shared" si="1"/>
        <v>0</v>
      </c>
      <c r="X107" s="389">
        <f t="shared" si="1"/>
        <v>0</v>
      </c>
      <c r="Y107" s="389">
        <f t="shared" si="1"/>
        <v>0</v>
      </c>
      <c r="Z107" s="389">
        <f t="shared" si="1"/>
        <v>0</v>
      </c>
      <c r="AA107" s="389">
        <f t="shared" si="1"/>
        <v>0</v>
      </c>
      <c r="AB107" s="389">
        <f t="shared" si="1"/>
        <v>0</v>
      </c>
      <c r="AC107" s="389">
        <f t="shared" si="1"/>
        <v>0</v>
      </c>
      <c r="AD107" s="389">
        <f t="shared" si="1"/>
        <v>0</v>
      </c>
      <c r="AE107" s="389">
        <f t="shared" si="1"/>
        <v>0</v>
      </c>
      <c r="AF107" s="389">
        <f t="shared" si="1"/>
        <v>0</v>
      </c>
      <c r="AG107" s="389">
        <f t="shared" si="1"/>
        <v>0</v>
      </c>
      <c r="AH107" s="389">
        <f t="shared" si="1"/>
        <v>0</v>
      </c>
      <c r="AI107" s="389">
        <f t="shared" si="1"/>
        <v>0</v>
      </c>
      <c r="AJ107" s="389">
        <f t="shared" si="1"/>
        <v>0</v>
      </c>
      <c r="AK107" s="389">
        <f t="shared" si="1"/>
        <v>0</v>
      </c>
      <c r="AL107" s="389">
        <f t="shared" si="1"/>
        <v>0</v>
      </c>
      <c r="AM107" s="389">
        <f t="shared" si="1"/>
        <v>0</v>
      </c>
      <c r="AN107" s="389">
        <f t="shared" si="1"/>
        <v>0</v>
      </c>
      <c r="AO107" s="389">
        <f t="shared" si="1"/>
        <v>0</v>
      </c>
      <c r="AP107" s="389">
        <f t="shared" si="1"/>
        <v>0</v>
      </c>
      <c r="AQ107" s="389">
        <f t="shared" si="1"/>
        <v>0</v>
      </c>
      <c r="AR107" s="358">
        <f t="shared" si="1"/>
        <v>0</v>
      </c>
    </row>
    <row r="108" spans="1:44" s="53" customFormat="1" ht="13.5" customHeight="1" x14ac:dyDescent="0.35">
      <c r="B108" s="457" t="s">
        <v>434</v>
      </c>
      <c r="C108" s="458"/>
      <c r="D108" s="115" t="str">
        <f>CONCATENATE("Euro/",$C$7)</f>
        <v>Euro/kWh</v>
      </c>
      <c r="E108" s="388"/>
      <c r="F108" s="389">
        <f>IF(F$112&lt;=$C73,$E$108*F109,)</f>
        <v>0</v>
      </c>
      <c r="G108" s="389">
        <f t="shared" ref="G108:AR108" si="2">IF(G$112&lt;=$C73,$E$108*G109,)</f>
        <v>0</v>
      </c>
      <c r="H108" s="389">
        <f t="shared" si="2"/>
        <v>0</v>
      </c>
      <c r="I108" s="389">
        <f t="shared" si="2"/>
        <v>0</v>
      </c>
      <c r="J108" s="389">
        <f t="shared" si="2"/>
        <v>0</v>
      </c>
      <c r="K108" s="389">
        <f t="shared" si="2"/>
        <v>0</v>
      </c>
      <c r="L108" s="389">
        <f t="shared" si="2"/>
        <v>0</v>
      </c>
      <c r="M108" s="389">
        <f t="shared" si="2"/>
        <v>0</v>
      </c>
      <c r="N108" s="389">
        <f t="shared" si="2"/>
        <v>0</v>
      </c>
      <c r="O108" s="389">
        <f t="shared" si="2"/>
        <v>0</v>
      </c>
      <c r="P108" s="389">
        <f t="shared" si="2"/>
        <v>0</v>
      </c>
      <c r="Q108" s="389">
        <f t="shared" si="2"/>
        <v>0</v>
      </c>
      <c r="R108" s="389">
        <f t="shared" si="2"/>
        <v>0</v>
      </c>
      <c r="S108" s="389">
        <f t="shared" si="2"/>
        <v>0</v>
      </c>
      <c r="T108" s="389">
        <f t="shared" si="2"/>
        <v>0</v>
      </c>
      <c r="U108" s="389">
        <f t="shared" si="2"/>
        <v>0</v>
      </c>
      <c r="V108" s="389">
        <f t="shared" si="2"/>
        <v>0</v>
      </c>
      <c r="W108" s="389">
        <f t="shared" si="2"/>
        <v>0</v>
      </c>
      <c r="X108" s="389">
        <f t="shared" si="2"/>
        <v>0</v>
      </c>
      <c r="Y108" s="389">
        <f t="shared" si="2"/>
        <v>0</v>
      </c>
      <c r="Z108" s="389">
        <f t="shared" si="2"/>
        <v>0</v>
      </c>
      <c r="AA108" s="389">
        <f t="shared" si="2"/>
        <v>0</v>
      </c>
      <c r="AB108" s="389">
        <f t="shared" si="2"/>
        <v>0</v>
      </c>
      <c r="AC108" s="389">
        <f t="shared" si="2"/>
        <v>0</v>
      </c>
      <c r="AD108" s="389">
        <f t="shared" si="2"/>
        <v>0</v>
      </c>
      <c r="AE108" s="389">
        <f t="shared" si="2"/>
        <v>0</v>
      </c>
      <c r="AF108" s="389">
        <f t="shared" si="2"/>
        <v>0</v>
      </c>
      <c r="AG108" s="389">
        <f t="shared" si="2"/>
        <v>0</v>
      </c>
      <c r="AH108" s="389">
        <f t="shared" si="2"/>
        <v>0</v>
      </c>
      <c r="AI108" s="389">
        <f t="shared" si="2"/>
        <v>0</v>
      </c>
      <c r="AJ108" s="389">
        <f t="shared" si="2"/>
        <v>0</v>
      </c>
      <c r="AK108" s="389">
        <f t="shared" si="2"/>
        <v>0</v>
      </c>
      <c r="AL108" s="389">
        <f t="shared" si="2"/>
        <v>0</v>
      </c>
      <c r="AM108" s="389">
        <f t="shared" si="2"/>
        <v>0</v>
      </c>
      <c r="AN108" s="389">
        <f t="shared" si="2"/>
        <v>0</v>
      </c>
      <c r="AO108" s="389">
        <f t="shared" si="2"/>
        <v>0</v>
      </c>
      <c r="AP108" s="389">
        <f t="shared" si="2"/>
        <v>0</v>
      </c>
      <c r="AQ108" s="389">
        <f t="shared" si="2"/>
        <v>0</v>
      </c>
      <c r="AR108" s="358">
        <f t="shared" si="2"/>
        <v>0</v>
      </c>
    </row>
    <row r="109" spans="1:44" x14ac:dyDescent="0.25">
      <c r="B109" s="116" t="s">
        <v>435</v>
      </c>
      <c r="C109" s="117"/>
      <c r="D109" s="117" t="s">
        <v>436</v>
      </c>
      <c r="E109" s="147">
        <f t="shared" ref="E109:AR109" si="3">POWER(1+$C$89,E112-$E$112)</f>
        <v>1</v>
      </c>
      <c r="F109" s="147">
        <f t="shared" si="3"/>
        <v>1.02</v>
      </c>
      <c r="G109" s="147">
        <f t="shared" si="3"/>
        <v>1.0404</v>
      </c>
      <c r="H109" s="147">
        <f t="shared" si="3"/>
        <v>1.0612079999999999</v>
      </c>
      <c r="I109" s="147">
        <f t="shared" si="3"/>
        <v>1.08243216</v>
      </c>
      <c r="J109" s="147">
        <f t="shared" si="3"/>
        <v>1.1040808032</v>
      </c>
      <c r="K109" s="147">
        <f t="shared" si="3"/>
        <v>1.1261624192640001</v>
      </c>
      <c r="L109" s="147">
        <f t="shared" si="3"/>
        <v>1.1486856676492798</v>
      </c>
      <c r="M109" s="147">
        <f t="shared" si="3"/>
        <v>1.1716593810022655</v>
      </c>
      <c r="N109" s="147">
        <f t="shared" si="3"/>
        <v>1.1950925686223108</v>
      </c>
      <c r="O109" s="147">
        <f t="shared" si="3"/>
        <v>1.2189944199947571</v>
      </c>
      <c r="P109" s="147">
        <f t="shared" si="3"/>
        <v>1.243374308394652</v>
      </c>
      <c r="Q109" s="147">
        <f t="shared" si="3"/>
        <v>1.2682417945625453</v>
      </c>
      <c r="R109" s="147">
        <f t="shared" si="3"/>
        <v>1.2936066304537961</v>
      </c>
      <c r="S109" s="147">
        <f t="shared" si="3"/>
        <v>1.3194787630628722</v>
      </c>
      <c r="T109" s="147">
        <f t="shared" si="3"/>
        <v>1.3458683383241292</v>
      </c>
      <c r="U109" s="147">
        <f t="shared" si="3"/>
        <v>1.372785705090612</v>
      </c>
      <c r="V109" s="147">
        <f t="shared" si="3"/>
        <v>1.4002414191924244</v>
      </c>
      <c r="W109" s="147">
        <f t="shared" si="3"/>
        <v>1.4282462475762727</v>
      </c>
      <c r="X109" s="147">
        <f t="shared" si="3"/>
        <v>1.4568111725277981</v>
      </c>
      <c r="Y109" s="147">
        <f t="shared" si="3"/>
        <v>1.4859473959783542</v>
      </c>
      <c r="Z109" s="147">
        <f t="shared" si="3"/>
        <v>1.5156663438979212</v>
      </c>
      <c r="AA109" s="147">
        <f t="shared" si="3"/>
        <v>1.5459796707758797</v>
      </c>
      <c r="AB109" s="147">
        <f t="shared" si="3"/>
        <v>1.576899264191397</v>
      </c>
      <c r="AC109" s="147">
        <f t="shared" si="3"/>
        <v>1.608437249475225</v>
      </c>
      <c r="AD109" s="147">
        <f t="shared" si="3"/>
        <v>1.6406059944647295</v>
      </c>
      <c r="AE109" s="147">
        <f t="shared" si="3"/>
        <v>1.6734181143540243</v>
      </c>
      <c r="AF109" s="147">
        <f t="shared" si="3"/>
        <v>1.7068864766411045</v>
      </c>
      <c r="AG109" s="147">
        <f t="shared" si="3"/>
        <v>1.7410242061739269</v>
      </c>
      <c r="AH109" s="147">
        <f t="shared" si="3"/>
        <v>1.7758446902974052</v>
      </c>
      <c r="AI109" s="147">
        <f t="shared" si="3"/>
        <v>1.8113615841033535</v>
      </c>
      <c r="AJ109" s="147">
        <f t="shared" si="3"/>
        <v>1.8475888157854201</v>
      </c>
      <c r="AK109" s="147">
        <f t="shared" si="3"/>
        <v>1.8845405921011289</v>
      </c>
      <c r="AL109" s="147">
        <f t="shared" si="3"/>
        <v>1.9222314039431516</v>
      </c>
      <c r="AM109" s="147">
        <f t="shared" si="3"/>
        <v>1.9606760320220145</v>
      </c>
      <c r="AN109" s="147">
        <f t="shared" si="3"/>
        <v>1.9998895526624547</v>
      </c>
      <c r="AO109" s="147">
        <f t="shared" si="3"/>
        <v>2.0398873437157037</v>
      </c>
      <c r="AP109" s="147">
        <f t="shared" si="3"/>
        <v>2.080685090590018</v>
      </c>
      <c r="AQ109" s="147">
        <f t="shared" si="3"/>
        <v>2.1222987924018186</v>
      </c>
      <c r="AR109" s="148">
        <f t="shared" si="3"/>
        <v>2.1647447682498542</v>
      </c>
    </row>
    <row r="110" spans="1:44" ht="13" thickBot="1" x14ac:dyDescent="0.3"/>
    <row r="111" spans="1:44" ht="13" x14ac:dyDescent="0.25">
      <c r="B111" s="459" t="s">
        <v>437</v>
      </c>
      <c r="C111" s="460"/>
      <c r="D111" s="460"/>
      <c r="E111" s="460"/>
      <c r="F111" s="460"/>
      <c r="G111" s="460"/>
      <c r="H111" s="460"/>
      <c r="I111" s="460"/>
      <c r="J111" s="460"/>
      <c r="K111" s="460"/>
      <c r="L111" s="460"/>
      <c r="M111" s="460"/>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30"/>
    </row>
    <row r="112" spans="1:44" ht="13" x14ac:dyDescent="0.3">
      <c r="B112" s="131" t="s">
        <v>438</v>
      </c>
      <c r="C112" s="371"/>
      <c r="D112" s="372">
        <v>0</v>
      </c>
      <c r="E112" s="372">
        <v>1</v>
      </c>
      <c r="F112" s="372">
        <v>2</v>
      </c>
      <c r="G112" s="372">
        <v>3</v>
      </c>
      <c r="H112" s="372">
        <v>4</v>
      </c>
      <c r="I112" s="372">
        <v>5</v>
      </c>
      <c r="J112" s="372">
        <v>6</v>
      </c>
      <c r="K112" s="372">
        <v>7</v>
      </c>
      <c r="L112" s="372">
        <v>8</v>
      </c>
      <c r="M112" s="372">
        <v>9</v>
      </c>
      <c r="N112" s="372">
        <v>10</v>
      </c>
      <c r="O112" s="372">
        <v>11</v>
      </c>
      <c r="P112" s="372">
        <v>12</v>
      </c>
      <c r="Q112" s="372">
        <v>13</v>
      </c>
      <c r="R112" s="372">
        <v>14</v>
      </c>
      <c r="S112" s="372">
        <v>15</v>
      </c>
      <c r="T112" s="372">
        <v>16</v>
      </c>
      <c r="U112" s="372">
        <v>17</v>
      </c>
      <c r="V112" s="372">
        <v>18</v>
      </c>
      <c r="W112" s="372">
        <v>19</v>
      </c>
      <c r="X112" s="372">
        <v>20</v>
      </c>
      <c r="Y112" s="372">
        <v>21</v>
      </c>
      <c r="Z112" s="372">
        <v>22</v>
      </c>
      <c r="AA112" s="372">
        <v>23</v>
      </c>
      <c r="AB112" s="372">
        <v>24</v>
      </c>
      <c r="AC112" s="372">
        <v>25</v>
      </c>
      <c r="AD112" s="372">
        <v>26</v>
      </c>
      <c r="AE112" s="372">
        <v>27</v>
      </c>
      <c r="AF112" s="372">
        <v>28</v>
      </c>
      <c r="AG112" s="372">
        <v>29</v>
      </c>
      <c r="AH112" s="372">
        <v>30</v>
      </c>
      <c r="AI112" s="372">
        <v>31</v>
      </c>
      <c r="AJ112" s="372">
        <v>32</v>
      </c>
      <c r="AK112" s="372">
        <v>33</v>
      </c>
      <c r="AL112" s="372">
        <v>34</v>
      </c>
      <c r="AM112" s="372">
        <v>35</v>
      </c>
      <c r="AN112" s="372">
        <v>36</v>
      </c>
      <c r="AO112" s="372">
        <v>37</v>
      </c>
      <c r="AP112" s="372">
        <v>38</v>
      </c>
      <c r="AQ112" s="372">
        <v>39</v>
      </c>
      <c r="AR112" s="132">
        <v>40</v>
      </c>
    </row>
    <row r="113" spans="2:44" ht="13" x14ac:dyDescent="0.3">
      <c r="B113" s="118" t="s">
        <v>439</v>
      </c>
      <c r="C113" s="373" t="s">
        <v>424</v>
      </c>
      <c r="D113" s="374">
        <f>-C152</f>
        <v>-5188625</v>
      </c>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119"/>
    </row>
    <row r="114" spans="2:44" ht="13" x14ac:dyDescent="0.3">
      <c r="B114" s="131" t="s">
        <v>440</v>
      </c>
      <c r="C114" s="376"/>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133"/>
    </row>
    <row r="115" spans="2:44" x14ac:dyDescent="0.25">
      <c r="B115" s="118" t="s">
        <v>441</v>
      </c>
      <c r="C115" s="378" t="str">
        <f>$C$7</f>
        <v>kWh</v>
      </c>
      <c r="D115" s="373"/>
      <c r="E115" s="379">
        <f t="shared" ref="E115:AR115" si="4">IF(E112&lt;=$C$76,$C$28*$C$30,IF(AND(E112&gt;$C$76,E112&lt;=$C$73),$C$28*$C$81,0))*IF($C$33=0,1,$C$34/$C$33)</f>
        <v>7400000</v>
      </c>
      <c r="F115" s="379">
        <f t="shared" si="4"/>
        <v>7400000</v>
      </c>
      <c r="G115" s="379">
        <f t="shared" si="4"/>
        <v>7400000</v>
      </c>
      <c r="H115" s="379">
        <f t="shared" si="4"/>
        <v>7400000</v>
      </c>
      <c r="I115" s="379">
        <f t="shared" si="4"/>
        <v>7400000</v>
      </c>
      <c r="J115" s="379">
        <f t="shared" si="4"/>
        <v>7400000</v>
      </c>
      <c r="K115" s="379">
        <f t="shared" si="4"/>
        <v>7400000</v>
      </c>
      <c r="L115" s="379">
        <f t="shared" si="4"/>
        <v>7400000</v>
      </c>
      <c r="M115" s="379">
        <f t="shared" si="4"/>
        <v>7400000</v>
      </c>
      <c r="N115" s="379">
        <f t="shared" si="4"/>
        <v>7400000</v>
      </c>
      <c r="O115" s="379">
        <f t="shared" si="4"/>
        <v>7400000</v>
      </c>
      <c r="P115" s="379">
        <f t="shared" si="4"/>
        <v>7400000</v>
      </c>
      <c r="Q115" s="379">
        <f t="shared" si="4"/>
        <v>7400000</v>
      </c>
      <c r="R115" s="379">
        <f t="shared" si="4"/>
        <v>7400000</v>
      </c>
      <c r="S115" s="379">
        <f t="shared" si="4"/>
        <v>7400000</v>
      </c>
      <c r="T115" s="379">
        <f t="shared" si="4"/>
        <v>6900000</v>
      </c>
      <c r="U115" s="379">
        <f t="shared" si="4"/>
        <v>6900000</v>
      </c>
      <c r="V115" s="379">
        <f t="shared" si="4"/>
        <v>6900000</v>
      </c>
      <c r="W115" s="379">
        <f t="shared" si="4"/>
        <v>6900000</v>
      </c>
      <c r="X115" s="379">
        <f t="shared" si="4"/>
        <v>6900000</v>
      </c>
      <c r="Y115" s="379">
        <f t="shared" si="4"/>
        <v>0</v>
      </c>
      <c r="Z115" s="379">
        <f t="shared" si="4"/>
        <v>0</v>
      </c>
      <c r="AA115" s="379">
        <f t="shared" si="4"/>
        <v>0</v>
      </c>
      <c r="AB115" s="379">
        <f t="shared" si="4"/>
        <v>0</v>
      </c>
      <c r="AC115" s="379">
        <f t="shared" si="4"/>
        <v>0</v>
      </c>
      <c r="AD115" s="379">
        <f t="shared" si="4"/>
        <v>0</v>
      </c>
      <c r="AE115" s="379">
        <f t="shared" si="4"/>
        <v>0</v>
      </c>
      <c r="AF115" s="379">
        <f t="shared" si="4"/>
        <v>0</v>
      </c>
      <c r="AG115" s="379">
        <f t="shared" si="4"/>
        <v>0</v>
      </c>
      <c r="AH115" s="379">
        <f t="shared" si="4"/>
        <v>0</v>
      </c>
      <c r="AI115" s="379">
        <f t="shared" si="4"/>
        <v>0</v>
      </c>
      <c r="AJ115" s="379">
        <f t="shared" si="4"/>
        <v>0</v>
      </c>
      <c r="AK115" s="379">
        <f t="shared" si="4"/>
        <v>0</v>
      </c>
      <c r="AL115" s="379">
        <f t="shared" si="4"/>
        <v>0</v>
      </c>
      <c r="AM115" s="379">
        <f t="shared" si="4"/>
        <v>0</v>
      </c>
      <c r="AN115" s="379">
        <f t="shared" si="4"/>
        <v>0</v>
      </c>
      <c r="AO115" s="379">
        <f t="shared" si="4"/>
        <v>0</v>
      </c>
      <c r="AP115" s="379">
        <f t="shared" si="4"/>
        <v>0</v>
      </c>
      <c r="AQ115" s="379">
        <f t="shared" si="4"/>
        <v>0</v>
      </c>
      <c r="AR115" s="120">
        <f t="shared" si="4"/>
        <v>0</v>
      </c>
    </row>
    <row r="116" spans="2:44" x14ac:dyDescent="0.25">
      <c r="B116" s="118" t="s">
        <v>442</v>
      </c>
      <c r="C116" s="378" t="str">
        <f>$C$7</f>
        <v>kWh</v>
      </c>
      <c r="D116" s="373"/>
      <c r="E116" s="379">
        <f t="shared" ref="E116:AR116" si="5">IF($C$23="Ja",0,IF(E112&lt;=$C$76,$C$26*$C$29,IF(AND(E112&gt;$C$76,E112&lt;=$C$73),$C$26*$C$83,0)))</f>
        <v>0</v>
      </c>
      <c r="F116" s="379">
        <f t="shared" si="5"/>
        <v>0</v>
      </c>
      <c r="G116" s="379">
        <f t="shared" si="5"/>
        <v>0</v>
      </c>
      <c r="H116" s="379">
        <f t="shared" si="5"/>
        <v>0</v>
      </c>
      <c r="I116" s="379">
        <f t="shared" si="5"/>
        <v>0</v>
      </c>
      <c r="J116" s="379">
        <f t="shared" si="5"/>
        <v>0</v>
      </c>
      <c r="K116" s="379">
        <f t="shared" si="5"/>
        <v>0</v>
      </c>
      <c r="L116" s="379">
        <f t="shared" si="5"/>
        <v>0</v>
      </c>
      <c r="M116" s="379">
        <f t="shared" si="5"/>
        <v>0</v>
      </c>
      <c r="N116" s="379">
        <f t="shared" si="5"/>
        <v>0</v>
      </c>
      <c r="O116" s="379">
        <f t="shared" si="5"/>
        <v>0</v>
      </c>
      <c r="P116" s="379">
        <f t="shared" si="5"/>
        <v>0</v>
      </c>
      <c r="Q116" s="379">
        <f t="shared" si="5"/>
        <v>0</v>
      </c>
      <c r="R116" s="379">
        <f t="shared" si="5"/>
        <v>0</v>
      </c>
      <c r="S116" s="379">
        <f t="shared" si="5"/>
        <v>0</v>
      </c>
      <c r="T116" s="379">
        <f t="shared" si="5"/>
        <v>0</v>
      </c>
      <c r="U116" s="379">
        <f t="shared" si="5"/>
        <v>0</v>
      </c>
      <c r="V116" s="379">
        <f t="shared" si="5"/>
        <v>0</v>
      </c>
      <c r="W116" s="379">
        <f t="shared" si="5"/>
        <v>0</v>
      </c>
      <c r="X116" s="379">
        <f t="shared" si="5"/>
        <v>0</v>
      </c>
      <c r="Y116" s="379">
        <f t="shared" si="5"/>
        <v>0</v>
      </c>
      <c r="Z116" s="379">
        <f t="shared" si="5"/>
        <v>0</v>
      </c>
      <c r="AA116" s="379">
        <f t="shared" si="5"/>
        <v>0</v>
      </c>
      <c r="AB116" s="379">
        <f t="shared" si="5"/>
        <v>0</v>
      </c>
      <c r="AC116" s="379">
        <f t="shared" si="5"/>
        <v>0</v>
      </c>
      <c r="AD116" s="379">
        <f t="shared" si="5"/>
        <v>0</v>
      </c>
      <c r="AE116" s="379">
        <f t="shared" si="5"/>
        <v>0</v>
      </c>
      <c r="AF116" s="379">
        <f t="shared" si="5"/>
        <v>0</v>
      </c>
      <c r="AG116" s="379">
        <f t="shared" si="5"/>
        <v>0</v>
      </c>
      <c r="AH116" s="379">
        <f t="shared" si="5"/>
        <v>0</v>
      </c>
      <c r="AI116" s="379">
        <f t="shared" si="5"/>
        <v>0</v>
      </c>
      <c r="AJ116" s="379">
        <f t="shared" si="5"/>
        <v>0</v>
      </c>
      <c r="AK116" s="379">
        <f t="shared" si="5"/>
        <v>0</v>
      </c>
      <c r="AL116" s="379">
        <f t="shared" si="5"/>
        <v>0</v>
      </c>
      <c r="AM116" s="379">
        <f t="shared" si="5"/>
        <v>0</v>
      </c>
      <c r="AN116" s="379">
        <f t="shared" si="5"/>
        <v>0</v>
      </c>
      <c r="AO116" s="379">
        <f t="shared" si="5"/>
        <v>0</v>
      </c>
      <c r="AP116" s="379">
        <f t="shared" si="5"/>
        <v>0</v>
      </c>
      <c r="AQ116" s="379">
        <f t="shared" si="5"/>
        <v>0</v>
      </c>
      <c r="AR116" s="120">
        <f t="shared" si="5"/>
        <v>0</v>
      </c>
    </row>
    <row r="117" spans="2:44" x14ac:dyDescent="0.25">
      <c r="B117" s="118" t="s">
        <v>443</v>
      </c>
      <c r="C117" s="373" t="s">
        <v>444</v>
      </c>
      <c r="D117" s="373"/>
      <c r="E117" s="379">
        <f t="shared" ref="E117:AR117" si="6">IF(OR(E112&gt;$C$73,$C$23&lt;&gt;"JA"),0,$C$26*$C$29*$C$183/$C$182)</f>
        <v>0</v>
      </c>
      <c r="F117" s="379">
        <f t="shared" si="6"/>
        <v>0</v>
      </c>
      <c r="G117" s="379">
        <f t="shared" si="6"/>
        <v>0</v>
      </c>
      <c r="H117" s="379">
        <f t="shared" si="6"/>
        <v>0</v>
      </c>
      <c r="I117" s="379">
        <f t="shared" si="6"/>
        <v>0</v>
      </c>
      <c r="J117" s="379">
        <f t="shared" si="6"/>
        <v>0</v>
      </c>
      <c r="K117" s="379">
        <f t="shared" si="6"/>
        <v>0</v>
      </c>
      <c r="L117" s="379">
        <f t="shared" si="6"/>
        <v>0</v>
      </c>
      <c r="M117" s="379">
        <f t="shared" si="6"/>
        <v>0</v>
      </c>
      <c r="N117" s="379">
        <f t="shared" si="6"/>
        <v>0</v>
      </c>
      <c r="O117" s="379">
        <f t="shared" si="6"/>
        <v>0</v>
      </c>
      <c r="P117" s="379">
        <f t="shared" si="6"/>
        <v>0</v>
      </c>
      <c r="Q117" s="379">
        <f t="shared" si="6"/>
        <v>0</v>
      </c>
      <c r="R117" s="379">
        <f t="shared" si="6"/>
        <v>0</v>
      </c>
      <c r="S117" s="379">
        <f t="shared" si="6"/>
        <v>0</v>
      </c>
      <c r="T117" s="379">
        <f t="shared" si="6"/>
        <v>0</v>
      </c>
      <c r="U117" s="379">
        <f t="shared" si="6"/>
        <v>0</v>
      </c>
      <c r="V117" s="379">
        <f t="shared" si="6"/>
        <v>0</v>
      </c>
      <c r="W117" s="379">
        <f t="shared" si="6"/>
        <v>0</v>
      </c>
      <c r="X117" s="379">
        <f t="shared" si="6"/>
        <v>0</v>
      </c>
      <c r="Y117" s="379">
        <f t="shared" si="6"/>
        <v>0</v>
      </c>
      <c r="Z117" s="379">
        <f t="shared" si="6"/>
        <v>0</v>
      </c>
      <c r="AA117" s="379">
        <f t="shared" si="6"/>
        <v>0</v>
      </c>
      <c r="AB117" s="379">
        <f t="shared" si="6"/>
        <v>0</v>
      </c>
      <c r="AC117" s="379">
        <f t="shared" si="6"/>
        <v>0</v>
      </c>
      <c r="AD117" s="379">
        <f t="shared" si="6"/>
        <v>0</v>
      </c>
      <c r="AE117" s="379">
        <f t="shared" si="6"/>
        <v>0</v>
      </c>
      <c r="AF117" s="379">
        <f t="shared" si="6"/>
        <v>0</v>
      </c>
      <c r="AG117" s="379">
        <f t="shared" si="6"/>
        <v>0</v>
      </c>
      <c r="AH117" s="379">
        <f t="shared" si="6"/>
        <v>0</v>
      </c>
      <c r="AI117" s="379">
        <f t="shared" si="6"/>
        <v>0</v>
      </c>
      <c r="AJ117" s="379">
        <f t="shared" si="6"/>
        <v>0</v>
      </c>
      <c r="AK117" s="379">
        <f t="shared" si="6"/>
        <v>0</v>
      </c>
      <c r="AL117" s="379">
        <f t="shared" si="6"/>
        <v>0</v>
      </c>
      <c r="AM117" s="379">
        <f t="shared" si="6"/>
        <v>0</v>
      </c>
      <c r="AN117" s="379">
        <f t="shared" si="6"/>
        <v>0</v>
      </c>
      <c r="AO117" s="379">
        <f t="shared" si="6"/>
        <v>0</v>
      </c>
      <c r="AP117" s="379">
        <f t="shared" si="6"/>
        <v>0</v>
      </c>
      <c r="AQ117" s="379">
        <f t="shared" si="6"/>
        <v>0</v>
      </c>
      <c r="AR117" s="120">
        <f t="shared" si="6"/>
        <v>0</v>
      </c>
    </row>
    <row r="118" spans="2:44" x14ac:dyDescent="0.25">
      <c r="B118" s="149" t="s">
        <v>445</v>
      </c>
      <c r="C118" s="380" t="str">
        <f>$C$7</f>
        <v>kWh</v>
      </c>
      <c r="D118" s="381"/>
      <c r="E118" s="150">
        <f>SUM(E115:E117)</f>
        <v>7400000</v>
      </c>
      <c r="F118" s="150">
        <f t="shared" ref="F118:AR118" si="7">SUM(F115:F117)</f>
        <v>7400000</v>
      </c>
      <c r="G118" s="150">
        <f t="shared" si="7"/>
        <v>7400000</v>
      </c>
      <c r="H118" s="150">
        <f t="shared" si="7"/>
        <v>7400000</v>
      </c>
      <c r="I118" s="150">
        <f t="shared" si="7"/>
        <v>7400000</v>
      </c>
      <c r="J118" s="150">
        <f t="shared" si="7"/>
        <v>7400000</v>
      </c>
      <c r="K118" s="150">
        <f t="shared" si="7"/>
        <v>7400000</v>
      </c>
      <c r="L118" s="150">
        <f t="shared" si="7"/>
        <v>7400000</v>
      </c>
      <c r="M118" s="150">
        <f t="shared" si="7"/>
        <v>7400000</v>
      </c>
      <c r="N118" s="150">
        <f t="shared" si="7"/>
        <v>7400000</v>
      </c>
      <c r="O118" s="150">
        <f t="shared" si="7"/>
        <v>7400000</v>
      </c>
      <c r="P118" s="150">
        <f t="shared" si="7"/>
        <v>7400000</v>
      </c>
      <c r="Q118" s="150">
        <f t="shared" si="7"/>
        <v>7400000</v>
      </c>
      <c r="R118" s="150">
        <f t="shared" si="7"/>
        <v>7400000</v>
      </c>
      <c r="S118" s="150">
        <f t="shared" si="7"/>
        <v>7400000</v>
      </c>
      <c r="T118" s="150">
        <f t="shared" si="7"/>
        <v>6900000</v>
      </c>
      <c r="U118" s="150">
        <f t="shared" si="7"/>
        <v>6900000</v>
      </c>
      <c r="V118" s="150">
        <f t="shared" si="7"/>
        <v>6900000</v>
      </c>
      <c r="W118" s="150">
        <f t="shared" si="7"/>
        <v>6900000</v>
      </c>
      <c r="X118" s="150">
        <f t="shared" si="7"/>
        <v>6900000</v>
      </c>
      <c r="Y118" s="150">
        <f t="shared" si="7"/>
        <v>0</v>
      </c>
      <c r="Z118" s="150">
        <f t="shared" si="7"/>
        <v>0</v>
      </c>
      <c r="AA118" s="150">
        <f t="shared" si="7"/>
        <v>0</v>
      </c>
      <c r="AB118" s="150">
        <f t="shared" si="7"/>
        <v>0</v>
      </c>
      <c r="AC118" s="150">
        <f t="shared" si="7"/>
        <v>0</v>
      </c>
      <c r="AD118" s="150">
        <f t="shared" si="7"/>
        <v>0</v>
      </c>
      <c r="AE118" s="150">
        <f t="shared" si="7"/>
        <v>0</v>
      </c>
      <c r="AF118" s="150">
        <f t="shared" si="7"/>
        <v>0</v>
      </c>
      <c r="AG118" s="150">
        <f t="shared" si="7"/>
        <v>0</v>
      </c>
      <c r="AH118" s="150">
        <f t="shared" si="7"/>
        <v>0</v>
      </c>
      <c r="AI118" s="150">
        <f t="shared" si="7"/>
        <v>0</v>
      </c>
      <c r="AJ118" s="150">
        <f t="shared" si="7"/>
        <v>0</v>
      </c>
      <c r="AK118" s="150">
        <f t="shared" si="7"/>
        <v>0</v>
      </c>
      <c r="AL118" s="150">
        <f t="shared" si="7"/>
        <v>0</v>
      </c>
      <c r="AM118" s="150">
        <f t="shared" si="7"/>
        <v>0</v>
      </c>
      <c r="AN118" s="150">
        <f t="shared" si="7"/>
        <v>0</v>
      </c>
      <c r="AO118" s="150">
        <f t="shared" si="7"/>
        <v>0</v>
      </c>
      <c r="AP118" s="150">
        <f t="shared" si="7"/>
        <v>0</v>
      </c>
      <c r="AQ118" s="150">
        <f t="shared" si="7"/>
        <v>0</v>
      </c>
      <c r="AR118" s="151">
        <f t="shared" si="7"/>
        <v>0</v>
      </c>
    </row>
    <row r="119" spans="2:44" ht="13" x14ac:dyDescent="0.3">
      <c r="B119" s="131" t="s">
        <v>446</v>
      </c>
      <c r="C119" s="376"/>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77"/>
      <c r="AN119" s="377"/>
      <c r="AO119" s="377"/>
      <c r="AP119" s="377"/>
      <c r="AQ119" s="377"/>
      <c r="AR119" s="133"/>
    </row>
    <row r="120" spans="2:44" x14ac:dyDescent="0.25">
      <c r="B120" s="118" t="s">
        <v>447</v>
      </c>
      <c r="C120" s="373" t="s">
        <v>424</v>
      </c>
      <c r="D120" s="373"/>
      <c r="E120" s="379">
        <f>IF(E112&gt;$C$73,0,-E109*(($C$42*$C$21+$C$43*SUM($C$26,$C$28))+E118*$C$49))+IF($C$101=E112,$D$101*E109,0)+IF($C$102=E112,$D$102*E109,0)+IF($C$103=E112,$D$103*E109,0)</f>
        <v>-200460</v>
      </c>
      <c r="F120" s="379">
        <f t="shared" ref="F120:AR120" si="8">IF(F112&gt;$C$73,0,-F109*(($C$42*$C$21+$C$43*SUM($C$26,$C$28))+F118*$C$49))+IF($C$101=F112,$D$101*F109,0)+IF($C$102=F112,$D$102*F109,0)+IF($C$103=F112,$D$103*F109,0)</f>
        <v>-204469.2</v>
      </c>
      <c r="G120" s="379">
        <f t="shared" si="8"/>
        <v>-208558.584</v>
      </c>
      <c r="H120" s="379">
        <f t="shared" si="8"/>
        <v>-212729.75567999997</v>
      </c>
      <c r="I120" s="379">
        <f t="shared" si="8"/>
        <v>-216984.3507936</v>
      </c>
      <c r="J120" s="379">
        <f t="shared" si="8"/>
        <v>-221324.03780947201</v>
      </c>
      <c r="K120" s="379">
        <f t="shared" si="8"/>
        <v>-225750.51856566145</v>
      </c>
      <c r="L120" s="379">
        <f t="shared" si="8"/>
        <v>-230265.52893697465</v>
      </c>
      <c r="M120" s="379">
        <f t="shared" si="8"/>
        <v>-234870.83951571415</v>
      </c>
      <c r="N120" s="379">
        <f t="shared" si="8"/>
        <v>-239568.25630602843</v>
      </c>
      <c r="O120" s="379">
        <f t="shared" si="8"/>
        <v>-244359.621432149</v>
      </c>
      <c r="P120" s="379">
        <f t="shared" si="8"/>
        <v>-249246.81386079194</v>
      </c>
      <c r="Q120" s="379">
        <f t="shared" si="8"/>
        <v>-419103.18343113875</v>
      </c>
      <c r="R120" s="379">
        <f t="shared" si="8"/>
        <v>-259316.38514076796</v>
      </c>
      <c r="S120" s="379">
        <f t="shared" si="8"/>
        <v>-264502.71284358337</v>
      </c>
      <c r="T120" s="379">
        <f t="shared" si="8"/>
        <v>-267841.25800988497</v>
      </c>
      <c r="U120" s="379">
        <f t="shared" si="8"/>
        <v>-273198.08317008271</v>
      </c>
      <c r="V120" s="379">
        <f t="shared" si="8"/>
        <v>-278662.0448334844</v>
      </c>
      <c r="W120" s="379">
        <f t="shared" si="8"/>
        <v>-284235.28573015402</v>
      </c>
      <c r="X120" s="379">
        <f t="shared" si="8"/>
        <v>-289919.99144475709</v>
      </c>
      <c r="Y120" s="379">
        <f t="shared" si="8"/>
        <v>0</v>
      </c>
      <c r="Z120" s="379">
        <f t="shared" si="8"/>
        <v>0</v>
      </c>
      <c r="AA120" s="379">
        <f t="shared" si="8"/>
        <v>0</v>
      </c>
      <c r="AB120" s="379">
        <f t="shared" si="8"/>
        <v>0</v>
      </c>
      <c r="AC120" s="379">
        <f t="shared" si="8"/>
        <v>0</v>
      </c>
      <c r="AD120" s="379">
        <f t="shared" si="8"/>
        <v>0</v>
      </c>
      <c r="AE120" s="379">
        <f t="shared" si="8"/>
        <v>0</v>
      </c>
      <c r="AF120" s="379">
        <f t="shared" si="8"/>
        <v>0</v>
      </c>
      <c r="AG120" s="379">
        <f t="shared" si="8"/>
        <v>0</v>
      </c>
      <c r="AH120" s="379">
        <f t="shared" si="8"/>
        <v>0</v>
      </c>
      <c r="AI120" s="379">
        <f t="shared" si="8"/>
        <v>0</v>
      </c>
      <c r="AJ120" s="379">
        <f t="shared" si="8"/>
        <v>0</v>
      </c>
      <c r="AK120" s="379">
        <f t="shared" si="8"/>
        <v>0</v>
      </c>
      <c r="AL120" s="379">
        <f t="shared" si="8"/>
        <v>0</v>
      </c>
      <c r="AM120" s="379">
        <f t="shared" si="8"/>
        <v>0</v>
      </c>
      <c r="AN120" s="379">
        <f t="shared" si="8"/>
        <v>0</v>
      </c>
      <c r="AO120" s="379">
        <f t="shared" si="8"/>
        <v>0</v>
      </c>
      <c r="AP120" s="379">
        <f t="shared" si="8"/>
        <v>0</v>
      </c>
      <c r="AQ120" s="379">
        <f t="shared" si="8"/>
        <v>0</v>
      </c>
      <c r="AR120" s="120">
        <f t="shared" si="8"/>
        <v>0</v>
      </c>
    </row>
    <row r="121" spans="2:44" x14ac:dyDescent="0.25">
      <c r="B121" s="118" t="s">
        <v>448</v>
      </c>
      <c r="C121" s="373" t="s">
        <v>424</v>
      </c>
      <c r="D121" s="373"/>
      <c r="E121" s="379">
        <f t="shared" ref="E121:AR121" si="9">IF(OR(E112&gt;$C$73, $C$52=0), 0, -E109*$C$54/$C$52*$C$21*MAX($C$29,$C$30)*$C$184/1000)</f>
        <v>0</v>
      </c>
      <c r="F121" s="379">
        <f t="shared" si="9"/>
        <v>0</v>
      </c>
      <c r="G121" s="379">
        <f t="shared" si="9"/>
        <v>0</v>
      </c>
      <c r="H121" s="379">
        <f t="shared" si="9"/>
        <v>0</v>
      </c>
      <c r="I121" s="379">
        <f t="shared" si="9"/>
        <v>0</v>
      </c>
      <c r="J121" s="379">
        <f t="shared" si="9"/>
        <v>0</v>
      </c>
      <c r="K121" s="379">
        <f t="shared" si="9"/>
        <v>0</v>
      </c>
      <c r="L121" s="379">
        <f t="shared" si="9"/>
        <v>0</v>
      </c>
      <c r="M121" s="379">
        <f t="shared" si="9"/>
        <v>0</v>
      </c>
      <c r="N121" s="379">
        <f t="shared" si="9"/>
        <v>0</v>
      </c>
      <c r="O121" s="379">
        <f t="shared" si="9"/>
        <v>0</v>
      </c>
      <c r="P121" s="379">
        <f t="shared" si="9"/>
        <v>0</v>
      </c>
      <c r="Q121" s="379">
        <f t="shared" si="9"/>
        <v>0</v>
      </c>
      <c r="R121" s="379">
        <f t="shared" si="9"/>
        <v>0</v>
      </c>
      <c r="S121" s="379">
        <f t="shared" si="9"/>
        <v>0</v>
      </c>
      <c r="T121" s="379">
        <f t="shared" si="9"/>
        <v>0</v>
      </c>
      <c r="U121" s="379">
        <f t="shared" si="9"/>
        <v>0</v>
      </c>
      <c r="V121" s="379">
        <f t="shared" si="9"/>
        <v>0</v>
      </c>
      <c r="W121" s="379">
        <f t="shared" si="9"/>
        <v>0</v>
      </c>
      <c r="X121" s="379">
        <f t="shared" si="9"/>
        <v>0</v>
      </c>
      <c r="Y121" s="379">
        <f t="shared" si="9"/>
        <v>0</v>
      </c>
      <c r="Z121" s="379">
        <f t="shared" si="9"/>
        <v>0</v>
      </c>
      <c r="AA121" s="379">
        <f t="shared" si="9"/>
        <v>0</v>
      </c>
      <c r="AB121" s="379">
        <f t="shared" si="9"/>
        <v>0</v>
      </c>
      <c r="AC121" s="379">
        <f t="shared" si="9"/>
        <v>0</v>
      </c>
      <c r="AD121" s="379">
        <f t="shared" si="9"/>
        <v>0</v>
      </c>
      <c r="AE121" s="379">
        <f t="shared" si="9"/>
        <v>0</v>
      </c>
      <c r="AF121" s="379">
        <f t="shared" si="9"/>
        <v>0</v>
      </c>
      <c r="AG121" s="379">
        <f t="shared" si="9"/>
        <v>0</v>
      </c>
      <c r="AH121" s="379">
        <f t="shared" si="9"/>
        <v>0</v>
      </c>
      <c r="AI121" s="379">
        <f t="shared" si="9"/>
        <v>0</v>
      </c>
      <c r="AJ121" s="379">
        <f t="shared" si="9"/>
        <v>0</v>
      </c>
      <c r="AK121" s="379">
        <f t="shared" si="9"/>
        <v>0</v>
      </c>
      <c r="AL121" s="379">
        <f t="shared" si="9"/>
        <v>0</v>
      </c>
      <c r="AM121" s="379">
        <f t="shared" si="9"/>
        <v>0</v>
      </c>
      <c r="AN121" s="379">
        <f t="shared" si="9"/>
        <v>0</v>
      </c>
      <c r="AO121" s="379">
        <f t="shared" si="9"/>
        <v>0</v>
      </c>
      <c r="AP121" s="379">
        <f t="shared" si="9"/>
        <v>0</v>
      </c>
      <c r="AQ121" s="379">
        <f t="shared" si="9"/>
        <v>0</v>
      </c>
      <c r="AR121" s="120">
        <f t="shared" si="9"/>
        <v>0</v>
      </c>
    </row>
    <row r="122" spans="2:44" x14ac:dyDescent="0.25">
      <c r="B122" s="118" t="s">
        <v>449</v>
      </c>
      <c r="C122" s="373" t="s">
        <v>406</v>
      </c>
      <c r="D122" s="373"/>
      <c r="E122" s="382">
        <f t="shared" ref="E122:AR122" si="10">IF(AND(E112&gt;$C$76,E112&lt;=$C$73),(IF($C$81&gt;0,$C$80*E109,0)), )</f>
        <v>0</v>
      </c>
      <c r="F122" s="382">
        <f t="shared" si="10"/>
        <v>0</v>
      </c>
      <c r="G122" s="382">
        <f t="shared" si="10"/>
        <v>0</v>
      </c>
      <c r="H122" s="382">
        <f t="shared" si="10"/>
        <v>0</v>
      </c>
      <c r="I122" s="382">
        <f t="shared" si="10"/>
        <v>0</v>
      </c>
      <c r="J122" s="382">
        <f t="shared" si="10"/>
        <v>0</v>
      </c>
      <c r="K122" s="382">
        <f t="shared" si="10"/>
        <v>0</v>
      </c>
      <c r="L122" s="382">
        <f t="shared" si="10"/>
        <v>0</v>
      </c>
      <c r="M122" s="382">
        <f t="shared" si="10"/>
        <v>0</v>
      </c>
      <c r="N122" s="382">
        <f t="shared" si="10"/>
        <v>0</v>
      </c>
      <c r="O122" s="382">
        <f t="shared" si="10"/>
        <v>0</v>
      </c>
      <c r="P122" s="382">
        <f t="shared" si="10"/>
        <v>0</v>
      </c>
      <c r="Q122" s="382">
        <f t="shared" si="10"/>
        <v>0</v>
      </c>
      <c r="R122" s="382">
        <f t="shared" si="10"/>
        <v>0</v>
      </c>
      <c r="S122" s="382">
        <f t="shared" si="10"/>
        <v>0</v>
      </c>
      <c r="T122" s="382">
        <f t="shared" si="10"/>
        <v>7.3349824438665043E-2</v>
      </c>
      <c r="U122" s="382">
        <f t="shared" si="10"/>
        <v>7.4816820927438354E-2</v>
      </c>
      <c r="V122" s="382">
        <f t="shared" si="10"/>
        <v>7.6313157345987134E-2</v>
      </c>
      <c r="W122" s="382">
        <f t="shared" si="10"/>
        <v>7.7839420492906861E-2</v>
      </c>
      <c r="X122" s="382">
        <f t="shared" si="10"/>
        <v>7.9396208902764998E-2</v>
      </c>
      <c r="Y122" s="382">
        <f t="shared" si="10"/>
        <v>0</v>
      </c>
      <c r="Z122" s="382">
        <f t="shared" si="10"/>
        <v>0</v>
      </c>
      <c r="AA122" s="382">
        <f t="shared" si="10"/>
        <v>0</v>
      </c>
      <c r="AB122" s="382">
        <f t="shared" si="10"/>
        <v>0</v>
      </c>
      <c r="AC122" s="382">
        <f t="shared" si="10"/>
        <v>0</v>
      </c>
      <c r="AD122" s="382">
        <f t="shared" si="10"/>
        <v>0</v>
      </c>
      <c r="AE122" s="382">
        <f t="shared" si="10"/>
        <v>0</v>
      </c>
      <c r="AF122" s="382">
        <f t="shared" si="10"/>
        <v>0</v>
      </c>
      <c r="AG122" s="382">
        <f t="shared" si="10"/>
        <v>0</v>
      </c>
      <c r="AH122" s="382">
        <f t="shared" si="10"/>
        <v>0</v>
      </c>
      <c r="AI122" s="382">
        <f t="shared" si="10"/>
        <v>0</v>
      </c>
      <c r="AJ122" s="382">
        <f t="shared" si="10"/>
        <v>0</v>
      </c>
      <c r="AK122" s="382">
        <f t="shared" si="10"/>
        <v>0</v>
      </c>
      <c r="AL122" s="382">
        <f t="shared" si="10"/>
        <v>0</v>
      </c>
      <c r="AM122" s="382">
        <f t="shared" si="10"/>
        <v>0</v>
      </c>
      <c r="AN122" s="382">
        <f t="shared" si="10"/>
        <v>0</v>
      </c>
      <c r="AO122" s="382">
        <f t="shared" si="10"/>
        <v>0</v>
      </c>
      <c r="AP122" s="382">
        <f t="shared" si="10"/>
        <v>0</v>
      </c>
      <c r="AQ122" s="382">
        <f t="shared" si="10"/>
        <v>0</v>
      </c>
      <c r="AR122" s="121">
        <f t="shared" si="10"/>
        <v>0</v>
      </c>
    </row>
    <row r="123" spans="2:44" x14ac:dyDescent="0.25">
      <c r="B123" s="118" t="s">
        <v>450</v>
      </c>
      <c r="C123" s="373" t="s">
        <v>406</v>
      </c>
      <c r="D123" s="373"/>
      <c r="E123" s="382">
        <f t="shared" ref="E123:AR123" si="11">IF($C$23="Ja",0,IF(AND(E112&gt;$C$76,E112&lt;=$C$73),(IF($C$83&gt;0,$C$82*E109,0)), ))</f>
        <v>0</v>
      </c>
      <c r="F123" s="382">
        <f t="shared" si="11"/>
        <v>0</v>
      </c>
      <c r="G123" s="382">
        <f t="shared" si="11"/>
        <v>0</v>
      </c>
      <c r="H123" s="382">
        <f t="shared" si="11"/>
        <v>0</v>
      </c>
      <c r="I123" s="382">
        <f t="shared" si="11"/>
        <v>0</v>
      </c>
      <c r="J123" s="382">
        <f t="shared" si="11"/>
        <v>0</v>
      </c>
      <c r="K123" s="382">
        <f t="shared" si="11"/>
        <v>0</v>
      </c>
      <c r="L123" s="382">
        <f t="shared" si="11"/>
        <v>0</v>
      </c>
      <c r="M123" s="382">
        <f t="shared" si="11"/>
        <v>0</v>
      </c>
      <c r="N123" s="382">
        <f t="shared" si="11"/>
        <v>0</v>
      </c>
      <c r="O123" s="382">
        <f t="shared" si="11"/>
        <v>0</v>
      </c>
      <c r="P123" s="382">
        <f t="shared" si="11"/>
        <v>0</v>
      </c>
      <c r="Q123" s="382">
        <f t="shared" si="11"/>
        <v>0</v>
      </c>
      <c r="R123" s="382">
        <f t="shared" si="11"/>
        <v>0</v>
      </c>
      <c r="S123" s="382">
        <f t="shared" si="11"/>
        <v>0</v>
      </c>
      <c r="T123" s="382">
        <f t="shared" si="11"/>
        <v>0</v>
      </c>
      <c r="U123" s="382">
        <f t="shared" si="11"/>
        <v>0</v>
      </c>
      <c r="V123" s="382">
        <f t="shared" si="11"/>
        <v>0</v>
      </c>
      <c r="W123" s="382">
        <f t="shared" si="11"/>
        <v>0</v>
      </c>
      <c r="X123" s="382">
        <f t="shared" si="11"/>
        <v>0</v>
      </c>
      <c r="Y123" s="382">
        <f t="shared" si="11"/>
        <v>0</v>
      </c>
      <c r="Z123" s="382">
        <f t="shared" si="11"/>
        <v>0</v>
      </c>
      <c r="AA123" s="382">
        <f t="shared" si="11"/>
        <v>0</v>
      </c>
      <c r="AB123" s="382">
        <f t="shared" si="11"/>
        <v>0</v>
      </c>
      <c r="AC123" s="382">
        <f t="shared" si="11"/>
        <v>0</v>
      </c>
      <c r="AD123" s="382">
        <f t="shared" si="11"/>
        <v>0</v>
      </c>
      <c r="AE123" s="382">
        <f t="shared" si="11"/>
        <v>0</v>
      </c>
      <c r="AF123" s="382">
        <f t="shared" si="11"/>
        <v>0</v>
      </c>
      <c r="AG123" s="382">
        <f t="shared" si="11"/>
        <v>0</v>
      </c>
      <c r="AH123" s="382">
        <f t="shared" si="11"/>
        <v>0</v>
      </c>
      <c r="AI123" s="382">
        <f t="shared" si="11"/>
        <v>0</v>
      </c>
      <c r="AJ123" s="382">
        <f t="shared" si="11"/>
        <v>0</v>
      </c>
      <c r="AK123" s="382">
        <f t="shared" si="11"/>
        <v>0</v>
      </c>
      <c r="AL123" s="382">
        <f t="shared" si="11"/>
        <v>0</v>
      </c>
      <c r="AM123" s="382">
        <f t="shared" si="11"/>
        <v>0</v>
      </c>
      <c r="AN123" s="382">
        <f t="shared" si="11"/>
        <v>0</v>
      </c>
      <c r="AO123" s="382">
        <f t="shared" si="11"/>
        <v>0</v>
      </c>
      <c r="AP123" s="382">
        <f t="shared" si="11"/>
        <v>0</v>
      </c>
      <c r="AQ123" s="382">
        <f t="shared" si="11"/>
        <v>0</v>
      </c>
      <c r="AR123" s="121">
        <f t="shared" si="11"/>
        <v>0</v>
      </c>
    </row>
    <row r="124" spans="2:44" x14ac:dyDescent="0.25">
      <c r="B124" s="118" t="s">
        <v>451</v>
      </c>
      <c r="C124" s="373" t="str">
        <f>CONCATENATE("Euro/",$C$7)</f>
        <v>Euro/kWh</v>
      </c>
      <c r="D124" s="373"/>
      <c r="E124" s="382">
        <f t="shared" ref="E124:AR124" si="12">E108</f>
        <v>0</v>
      </c>
      <c r="F124" s="382">
        <f t="shared" si="12"/>
        <v>0</v>
      </c>
      <c r="G124" s="382">
        <f t="shared" si="12"/>
        <v>0</v>
      </c>
      <c r="H124" s="382">
        <f t="shared" si="12"/>
        <v>0</v>
      </c>
      <c r="I124" s="382">
        <f t="shared" si="12"/>
        <v>0</v>
      </c>
      <c r="J124" s="382">
        <f t="shared" si="12"/>
        <v>0</v>
      </c>
      <c r="K124" s="382">
        <f t="shared" si="12"/>
        <v>0</v>
      </c>
      <c r="L124" s="382">
        <f t="shared" si="12"/>
        <v>0</v>
      </c>
      <c r="M124" s="382">
        <f t="shared" si="12"/>
        <v>0</v>
      </c>
      <c r="N124" s="382">
        <f t="shared" si="12"/>
        <v>0</v>
      </c>
      <c r="O124" s="382">
        <f t="shared" si="12"/>
        <v>0</v>
      </c>
      <c r="P124" s="382">
        <f t="shared" si="12"/>
        <v>0</v>
      </c>
      <c r="Q124" s="382">
        <f t="shared" si="12"/>
        <v>0</v>
      </c>
      <c r="R124" s="382">
        <f t="shared" si="12"/>
        <v>0</v>
      </c>
      <c r="S124" s="382">
        <f t="shared" si="12"/>
        <v>0</v>
      </c>
      <c r="T124" s="382">
        <f t="shared" si="12"/>
        <v>0</v>
      </c>
      <c r="U124" s="382">
        <f t="shared" si="12"/>
        <v>0</v>
      </c>
      <c r="V124" s="382">
        <f t="shared" si="12"/>
        <v>0</v>
      </c>
      <c r="W124" s="382">
        <f t="shared" si="12"/>
        <v>0</v>
      </c>
      <c r="X124" s="382">
        <f t="shared" si="12"/>
        <v>0</v>
      </c>
      <c r="Y124" s="382">
        <f t="shared" si="12"/>
        <v>0</v>
      </c>
      <c r="Z124" s="382">
        <f t="shared" si="12"/>
        <v>0</v>
      </c>
      <c r="AA124" s="382">
        <f t="shared" si="12"/>
        <v>0</v>
      </c>
      <c r="AB124" s="382">
        <f t="shared" si="12"/>
        <v>0</v>
      </c>
      <c r="AC124" s="382">
        <f t="shared" si="12"/>
        <v>0</v>
      </c>
      <c r="AD124" s="382">
        <f t="shared" si="12"/>
        <v>0</v>
      </c>
      <c r="AE124" s="382">
        <f t="shared" si="12"/>
        <v>0</v>
      </c>
      <c r="AF124" s="382">
        <f t="shared" si="12"/>
        <v>0</v>
      </c>
      <c r="AG124" s="382">
        <f t="shared" si="12"/>
        <v>0</v>
      </c>
      <c r="AH124" s="382">
        <f t="shared" si="12"/>
        <v>0</v>
      </c>
      <c r="AI124" s="382">
        <f t="shared" si="12"/>
        <v>0</v>
      </c>
      <c r="AJ124" s="382">
        <f t="shared" si="12"/>
        <v>0</v>
      </c>
      <c r="AK124" s="382">
        <f t="shared" si="12"/>
        <v>0</v>
      </c>
      <c r="AL124" s="382">
        <f t="shared" si="12"/>
        <v>0</v>
      </c>
      <c r="AM124" s="382">
        <f t="shared" si="12"/>
        <v>0</v>
      </c>
      <c r="AN124" s="382">
        <f t="shared" si="12"/>
        <v>0</v>
      </c>
      <c r="AO124" s="382">
        <f t="shared" si="12"/>
        <v>0</v>
      </c>
      <c r="AP124" s="382">
        <f t="shared" si="12"/>
        <v>0</v>
      </c>
      <c r="AQ124" s="382">
        <f t="shared" si="12"/>
        <v>0</v>
      </c>
      <c r="AR124" s="121">
        <f t="shared" si="12"/>
        <v>0</v>
      </c>
    </row>
    <row r="125" spans="2:44" x14ac:dyDescent="0.25">
      <c r="B125" s="118" t="s">
        <v>37</v>
      </c>
      <c r="C125" s="373" t="str">
        <f>CONCATENATE("Euro/",$C$7)</f>
        <v>Euro/kWh</v>
      </c>
      <c r="D125" s="373"/>
      <c r="E125" s="382">
        <f t="shared" ref="E125:AR125" si="13">E107</f>
        <v>0</v>
      </c>
      <c r="F125" s="382">
        <f t="shared" si="13"/>
        <v>0</v>
      </c>
      <c r="G125" s="382">
        <f t="shared" si="13"/>
        <v>0</v>
      </c>
      <c r="H125" s="382">
        <f t="shared" si="13"/>
        <v>0</v>
      </c>
      <c r="I125" s="382">
        <f t="shared" si="13"/>
        <v>0</v>
      </c>
      <c r="J125" s="382">
        <f t="shared" si="13"/>
        <v>0</v>
      </c>
      <c r="K125" s="382">
        <f t="shared" si="13"/>
        <v>0</v>
      </c>
      <c r="L125" s="382">
        <f t="shared" si="13"/>
        <v>0</v>
      </c>
      <c r="M125" s="382">
        <f t="shared" si="13"/>
        <v>0</v>
      </c>
      <c r="N125" s="382">
        <f t="shared" si="13"/>
        <v>0</v>
      </c>
      <c r="O125" s="382">
        <f t="shared" si="13"/>
        <v>0</v>
      </c>
      <c r="P125" s="382">
        <f t="shared" si="13"/>
        <v>0</v>
      </c>
      <c r="Q125" s="382">
        <f t="shared" si="13"/>
        <v>0</v>
      </c>
      <c r="R125" s="382">
        <f t="shared" si="13"/>
        <v>0</v>
      </c>
      <c r="S125" s="382">
        <f t="shared" si="13"/>
        <v>0</v>
      </c>
      <c r="T125" s="382">
        <f t="shared" si="13"/>
        <v>0</v>
      </c>
      <c r="U125" s="382">
        <f t="shared" si="13"/>
        <v>0</v>
      </c>
      <c r="V125" s="382">
        <f t="shared" si="13"/>
        <v>0</v>
      </c>
      <c r="W125" s="382">
        <f t="shared" si="13"/>
        <v>0</v>
      </c>
      <c r="X125" s="382">
        <f t="shared" si="13"/>
        <v>0</v>
      </c>
      <c r="Y125" s="382">
        <f t="shared" si="13"/>
        <v>0</v>
      </c>
      <c r="Z125" s="382">
        <f t="shared" si="13"/>
        <v>0</v>
      </c>
      <c r="AA125" s="382">
        <f t="shared" si="13"/>
        <v>0</v>
      </c>
      <c r="AB125" s="382">
        <f t="shared" si="13"/>
        <v>0</v>
      </c>
      <c r="AC125" s="382">
        <f t="shared" si="13"/>
        <v>0</v>
      </c>
      <c r="AD125" s="382">
        <f t="shared" si="13"/>
        <v>0</v>
      </c>
      <c r="AE125" s="382">
        <f t="shared" si="13"/>
        <v>0</v>
      </c>
      <c r="AF125" s="382">
        <f t="shared" si="13"/>
        <v>0</v>
      </c>
      <c r="AG125" s="382">
        <f t="shared" si="13"/>
        <v>0</v>
      </c>
      <c r="AH125" s="382">
        <f t="shared" si="13"/>
        <v>0</v>
      </c>
      <c r="AI125" s="382">
        <f t="shared" si="13"/>
        <v>0</v>
      </c>
      <c r="AJ125" s="382">
        <f t="shared" si="13"/>
        <v>0</v>
      </c>
      <c r="AK125" s="382">
        <f t="shared" si="13"/>
        <v>0</v>
      </c>
      <c r="AL125" s="382">
        <f t="shared" si="13"/>
        <v>0</v>
      </c>
      <c r="AM125" s="382">
        <f t="shared" si="13"/>
        <v>0</v>
      </c>
      <c r="AN125" s="382">
        <f t="shared" si="13"/>
        <v>0</v>
      </c>
      <c r="AO125" s="382">
        <f t="shared" si="13"/>
        <v>0</v>
      </c>
      <c r="AP125" s="382">
        <f t="shared" si="13"/>
        <v>0</v>
      </c>
      <c r="AQ125" s="382">
        <f t="shared" si="13"/>
        <v>0</v>
      </c>
      <c r="AR125" s="121">
        <f t="shared" si="13"/>
        <v>0</v>
      </c>
    </row>
    <row r="126" spans="2:44" x14ac:dyDescent="0.25">
      <c r="B126" s="118" t="s">
        <v>452</v>
      </c>
      <c r="C126" s="373" t="s">
        <v>424</v>
      </c>
      <c r="D126" s="373"/>
      <c r="E126" s="379">
        <f>MAX(0,E125-E124)*E118</f>
        <v>0</v>
      </c>
      <c r="F126" s="379">
        <f t="shared" ref="F126:AR126" si="14">MAX(0,F125-F124)*F118</f>
        <v>0</v>
      </c>
      <c r="G126" s="379">
        <f t="shared" si="14"/>
        <v>0</v>
      </c>
      <c r="H126" s="379">
        <f t="shared" si="14"/>
        <v>0</v>
      </c>
      <c r="I126" s="379">
        <f t="shared" si="14"/>
        <v>0</v>
      </c>
      <c r="J126" s="379">
        <f t="shared" si="14"/>
        <v>0</v>
      </c>
      <c r="K126" s="379">
        <f t="shared" si="14"/>
        <v>0</v>
      </c>
      <c r="L126" s="379">
        <f t="shared" si="14"/>
        <v>0</v>
      </c>
      <c r="M126" s="379">
        <f t="shared" si="14"/>
        <v>0</v>
      </c>
      <c r="N126" s="379">
        <f t="shared" si="14"/>
        <v>0</v>
      </c>
      <c r="O126" s="379">
        <f t="shared" si="14"/>
        <v>0</v>
      </c>
      <c r="P126" s="379">
        <f t="shared" si="14"/>
        <v>0</v>
      </c>
      <c r="Q126" s="379">
        <f t="shared" si="14"/>
        <v>0</v>
      </c>
      <c r="R126" s="379">
        <f t="shared" si="14"/>
        <v>0</v>
      </c>
      <c r="S126" s="379">
        <f t="shared" si="14"/>
        <v>0</v>
      </c>
      <c r="T126" s="379">
        <f t="shared" si="14"/>
        <v>0</v>
      </c>
      <c r="U126" s="379">
        <f t="shared" si="14"/>
        <v>0</v>
      </c>
      <c r="V126" s="379">
        <f t="shared" si="14"/>
        <v>0</v>
      </c>
      <c r="W126" s="379">
        <f t="shared" si="14"/>
        <v>0</v>
      </c>
      <c r="X126" s="379">
        <f t="shared" si="14"/>
        <v>0</v>
      </c>
      <c r="Y126" s="379">
        <f t="shared" si="14"/>
        <v>0</v>
      </c>
      <c r="Z126" s="379">
        <f t="shared" si="14"/>
        <v>0</v>
      </c>
      <c r="AA126" s="379">
        <f t="shared" si="14"/>
        <v>0</v>
      </c>
      <c r="AB126" s="379">
        <f t="shared" si="14"/>
        <v>0</v>
      </c>
      <c r="AC126" s="379">
        <f t="shared" si="14"/>
        <v>0</v>
      </c>
      <c r="AD126" s="379">
        <f t="shared" si="14"/>
        <v>0</v>
      </c>
      <c r="AE126" s="379">
        <f t="shared" si="14"/>
        <v>0</v>
      </c>
      <c r="AF126" s="379">
        <f t="shared" si="14"/>
        <v>0</v>
      </c>
      <c r="AG126" s="379">
        <f t="shared" si="14"/>
        <v>0</v>
      </c>
      <c r="AH126" s="379">
        <f t="shared" si="14"/>
        <v>0</v>
      </c>
      <c r="AI126" s="379">
        <f t="shared" si="14"/>
        <v>0</v>
      </c>
      <c r="AJ126" s="379">
        <f t="shared" si="14"/>
        <v>0</v>
      </c>
      <c r="AK126" s="379">
        <f t="shared" si="14"/>
        <v>0</v>
      </c>
      <c r="AL126" s="379">
        <f t="shared" si="14"/>
        <v>0</v>
      </c>
      <c r="AM126" s="379">
        <f t="shared" si="14"/>
        <v>0</v>
      </c>
      <c r="AN126" s="379">
        <f t="shared" si="14"/>
        <v>0</v>
      </c>
      <c r="AO126" s="379">
        <f t="shared" si="14"/>
        <v>0</v>
      </c>
      <c r="AP126" s="379">
        <f t="shared" si="14"/>
        <v>0</v>
      </c>
      <c r="AQ126" s="379">
        <f t="shared" si="14"/>
        <v>0</v>
      </c>
      <c r="AR126" s="120">
        <f t="shared" si="14"/>
        <v>0</v>
      </c>
    </row>
    <row r="127" spans="2:44" x14ac:dyDescent="0.25">
      <c r="B127" s="118" t="s">
        <v>453</v>
      </c>
      <c r="C127" s="373" t="s">
        <v>424</v>
      </c>
      <c r="D127" s="373"/>
      <c r="E127" s="379">
        <f>IF(E108&gt;0,,E122*E115+E123*SUM(E116:E117))</f>
        <v>0</v>
      </c>
      <c r="F127" s="379">
        <f t="shared" ref="F127:AR127" si="15">IF(F108&gt;0,,F122*F115+F123*SUM(F116:F117))</f>
        <v>0</v>
      </c>
      <c r="G127" s="379">
        <f t="shared" si="15"/>
        <v>0</v>
      </c>
      <c r="H127" s="379">
        <f t="shared" si="15"/>
        <v>0</v>
      </c>
      <c r="I127" s="379">
        <f t="shared" si="15"/>
        <v>0</v>
      </c>
      <c r="J127" s="379">
        <f t="shared" si="15"/>
        <v>0</v>
      </c>
      <c r="K127" s="379">
        <f t="shared" si="15"/>
        <v>0</v>
      </c>
      <c r="L127" s="379">
        <f t="shared" si="15"/>
        <v>0</v>
      </c>
      <c r="M127" s="379">
        <f t="shared" si="15"/>
        <v>0</v>
      </c>
      <c r="N127" s="379">
        <f t="shared" si="15"/>
        <v>0</v>
      </c>
      <c r="O127" s="379">
        <f t="shared" si="15"/>
        <v>0</v>
      </c>
      <c r="P127" s="379">
        <f t="shared" si="15"/>
        <v>0</v>
      </c>
      <c r="Q127" s="379">
        <f t="shared" si="15"/>
        <v>0</v>
      </c>
      <c r="R127" s="379">
        <f t="shared" si="15"/>
        <v>0</v>
      </c>
      <c r="S127" s="379">
        <f t="shared" si="15"/>
        <v>0</v>
      </c>
      <c r="T127" s="379">
        <f t="shared" si="15"/>
        <v>506113.78862678877</v>
      </c>
      <c r="U127" s="379">
        <f t="shared" si="15"/>
        <v>516236.06439932465</v>
      </c>
      <c r="V127" s="379">
        <f t="shared" si="15"/>
        <v>526560.7856873112</v>
      </c>
      <c r="W127" s="379">
        <f t="shared" si="15"/>
        <v>537092.00140105735</v>
      </c>
      <c r="X127" s="379">
        <f t="shared" si="15"/>
        <v>547833.84142907849</v>
      </c>
      <c r="Y127" s="379">
        <f t="shared" si="15"/>
        <v>0</v>
      </c>
      <c r="Z127" s="379">
        <f t="shared" si="15"/>
        <v>0</v>
      </c>
      <c r="AA127" s="379">
        <f t="shared" si="15"/>
        <v>0</v>
      </c>
      <c r="AB127" s="379">
        <f t="shared" si="15"/>
        <v>0</v>
      </c>
      <c r="AC127" s="379">
        <f t="shared" si="15"/>
        <v>0</v>
      </c>
      <c r="AD127" s="379">
        <f t="shared" si="15"/>
        <v>0</v>
      </c>
      <c r="AE127" s="379">
        <f t="shared" si="15"/>
        <v>0</v>
      </c>
      <c r="AF127" s="379">
        <f t="shared" si="15"/>
        <v>0</v>
      </c>
      <c r="AG127" s="379">
        <f t="shared" si="15"/>
        <v>0</v>
      </c>
      <c r="AH127" s="379">
        <f t="shared" si="15"/>
        <v>0</v>
      </c>
      <c r="AI127" s="379">
        <f t="shared" si="15"/>
        <v>0</v>
      </c>
      <c r="AJ127" s="379">
        <f t="shared" si="15"/>
        <v>0</v>
      </c>
      <c r="AK127" s="379">
        <f t="shared" si="15"/>
        <v>0</v>
      </c>
      <c r="AL127" s="379">
        <f t="shared" si="15"/>
        <v>0</v>
      </c>
      <c r="AM127" s="379">
        <f t="shared" si="15"/>
        <v>0</v>
      </c>
      <c r="AN127" s="379">
        <f t="shared" si="15"/>
        <v>0</v>
      </c>
      <c r="AO127" s="379">
        <f t="shared" si="15"/>
        <v>0</v>
      </c>
      <c r="AP127" s="379">
        <f t="shared" si="15"/>
        <v>0</v>
      </c>
      <c r="AQ127" s="379">
        <f t="shared" si="15"/>
        <v>0</v>
      </c>
      <c r="AR127" s="120">
        <f t="shared" si="15"/>
        <v>0</v>
      </c>
    </row>
    <row r="128" spans="2:44" x14ac:dyDescent="0.25">
      <c r="B128" s="118" t="s">
        <v>454</v>
      </c>
      <c r="C128" s="373" t="s">
        <v>424</v>
      </c>
      <c r="D128" s="384"/>
      <c r="E128" s="379">
        <f>E124*E118</f>
        <v>0</v>
      </c>
      <c r="F128" s="379">
        <f t="shared" ref="F128:AR128" si="16">F124*F118</f>
        <v>0</v>
      </c>
      <c r="G128" s="379">
        <f t="shared" si="16"/>
        <v>0</v>
      </c>
      <c r="H128" s="379">
        <f t="shared" si="16"/>
        <v>0</v>
      </c>
      <c r="I128" s="379">
        <f t="shared" si="16"/>
        <v>0</v>
      </c>
      <c r="J128" s="379">
        <f t="shared" si="16"/>
        <v>0</v>
      </c>
      <c r="K128" s="379">
        <f t="shared" si="16"/>
        <v>0</v>
      </c>
      <c r="L128" s="379">
        <f t="shared" si="16"/>
        <v>0</v>
      </c>
      <c r="M128" s="379">
        <f t="shared" si="16"/>
        <v>0</v>
      </c>
      <c r="N128" s="379">
        <f t="shared" si="16"/>
        <v>0</v>
      </c>
      <c r="O128" s="379">
        <f t="shared" si="16"/>
        <v>0</v>
      </c>
      <c r="P128" s="379">
        <f t="shared" si="16"/>
        <v>0</v>
      </c>
      <c r="Q128" s="379">
        <f t="shared" si="16"/>
        <v>0</v>
      </c>
      <c r="R128" s="379">
        <f t="shared" si="16"/>
        <v>0</v>
      </c>
      <c r="S128" s="379">
        <f t="shared" si="16"/>
        <v>0</v>
      </c>
      <c r="T128" s="379">
        <f t="shared" si="16"/>
        <v>0</v>
      </c>
      <c r="U128" s="379">
        <f t="shared" si="16"/>
        <v>0</v>
      </c>
      <c r="V128" s="379">
        <f t="shared" si="16"/>
        <v>0</v>
      </c>
      <c r="W128" s="379">
        <f t="shared" si="16"/>
        <v>0</v>
      </c>
      <c r="X128" s="379">
        <f t="shared" si="16"/>
        <v>0</v>
      </c>
      <c r="Y128" s="379">
        <f t="shared" si="16"/>
        <v>0</v>
      </c>
      <c r="Z128" s="379">
        <f t="shared" si="16"/>
        <v>0</v>
      </c>
      <c r="AA128" s="379">
        <f t="shared" si="16"/>
        <v>0</v>
      </c>
      <c r="AB128" s="379">
        <f t="shared" si="16"/>
        <v>0</v>
      </c>
      <c r="AC128" s="379">
        <f t="shared" si="16"/>
        <v>0</v>
      </c>
      <c r="AD128" s="379">
        <f t="shared" si="16"/>
        <v>0</v>
      </c>
      <c r="AE128" s="379">
        <f t="shared" si="16"/>
        <v>0</v>
      </c>
      <c r="AF128" s="379">
        <f t="shared" si="16"/>
        <v>0</v>
      </c>
      <c r="AG128" s="379">
        <f t="shared" si="16"/>
        <v>0</v>
      </c>
      <c r="AH128" s="379">
        <f t="shared" si="16"/>
        <v>0</v>
      </c>
      <c r="AI128" s="379">
        <f t="shared" si="16"/>
        <v>0</v>
      </c>
      <c r="AJ128" s="379">
        <f t="shared" si="16"/>
        <v>0</v>
      </c>
      <c r="AK128" s="379">
        <f t="shared" si="16"/>
        <v>0</v>
      </c>
      <c r="AL128" s="379">
        <f t="shared" si="16"/>
        <v>0</v>
      </c>
      <c r="AM128" s="379">
        <f t="shared" si="16"/>
        <v>0</v>
      </c>
      <c r="AN128" s="379">
        <f t="shared" si="16"/>
        <v>0</v>
      </c>
      <c r="AO128" s="379">
        <f t="shared" si="16"/>
        <v>0</v>
      </c>
      <c r="AP128" s="379">
        <f t="shared" si="16"/>
        <v>0</v>
      </c>
      <c r="AQ128" s="379">
        <f t="shared" si="16"/>
        <v>0</v>
      </c>
      <c r="AR128" s="120">
        <f t="shared" si="16"/>
        <v>0</v>
      </c>
    </row>
    <row r="129" spans="1:44" ht="13" x14ac:dyDescent="0.3">
      <c r="B129" s="131" t="s">
        <v>455</v>
      </c>
      <c r="C129" s="376"/>
      <c r="D129" s="377"/>
      <c r="E129" s="377"/>
      <c r="F129" s="377"/>
      <c r="G129" s="377"/>
      <c r="H129" s="377"/>
      <c r="I129" s="377"/>
      <c r="J129" s="377"/>
      <c r="K129" s="377"/>
      <c r="L129" s="377"/>
      <c r="M129" s="377"/>
      <c r="N129" s="377"/>
      <c r="O129" s="377"/>
      <c r="P129" s="377"/>
      <c r="Q129" s="377"/>
      <c r="R129" s="377"/>
      <c r="S129" s="377"/>
      <c r="T129" s="377"/>
      <c r="U129" s="377"/>
      <c r="V129" s="377"/>
      <c r="W129" s="377"/>
      <c r="X129" s="377"/>
      <c r="Y129" s="377"/>
      <c r="Z129" s="377"/>
      <c r="AA129" s="377"/>
      <c r="AB129" s="377"/>
      <c r="AC129" s="377"/>
      <c r="AD129" s="377"/>
      <c r="AE129" s="377"/>
      <c r="AF129" s="377"/>
      <c r="AG129" s="377"/>
      <c r="AH129" s="377"/>
      <c r="AI129" s="377"/>
      <c r="AJ129" s="377"/>
      <c r="AK129" s="377"/>
      <c r="AL129" s="377"/>
      <c r="AM129" s="377"/>
      <c r="AN129" s="377"/>
      <c r="AO129" s="377"/>
      <c r="AP129" s="377"/>
      <c r="AQ129" s="377"/>
      <c r="AR129" s="133"/>
    </row>
    <row r="130" spans="1:44" x14ac:dyDescent="0.25">
      <c r="B130" s="118" t="s">
        <v>456</v>
      </c>
      <c r="C130" s="373" t="s">
        <v>424</v>
      </c>
      <c r="D130" s="373"/>
      <c r="E130" s="379">
        <f>SUM(E126:E128)</f>
        <v>0</v>
      </c>
      <c r="F130" s="379">
        <f t="shared" ref="F130:AR130" si="17">SUM(F126:F128)</f>
        <v>0</v>
      </c>
      <c r="G130" s="379">
        <f t="shared" si="17"/>
        <v>0</v>
      </c>
      <c r="H130" s="379">
        <f t="shared" si="17"/>
        <v>0</v>
      </c>
      <c r="I130" s="379">
        <f t="shared" si="17"/>
        <v>0</v>
      </c>
      <c r="J130" s="379">
        <f t="shared" si="17"/>
        <v>0</v>
      </c>
      <c r="K130" s="379">
        <f t="shared" si="17"/>
        <v>0</v>
      </c>
      <c r="L130" s="379">
        <f t="shared" si="17"/>
        <v>0</v>
      </c>
      <c r="M130" s="379">
        <f t="shared" si="17"/>
        <v>0</v>
      </c>
      <c r="N130" s="379">
        <f t="shared" si="17"/>
        <v>0</v>
      </c>
      <c r="O130" s="379">
        <f t="shared" si="17"/>
        <v>0</v>
      </c>
      <c r="P130" s="379">
        <f t="shared" si="17"/>
        <v>0</v>
      </c>
      <c r="Q130" s="379">
        <f t="shared" si="17"/>
        <v>0</v>
      </c>
      <c r="R130" s="379">
        <f t="shared" si="17"/>
        <v>0</v>
      </c>
      <c r="S130" s="379">
        <f t="shared" si="17"/>
        <v>0</v>
      </c>
      <c r="T130" s="379">
        <f t="shared" si="17"/>
        <v>506113.78862678877</v>
      </c>
      <c r="U130" s="379">
        <f t="shared" si="17"/>
        <v>516236.06439932465</v>
      </c>
      <c r="V130" s="379">
        <f t="shared" si="17"/>
        <v>526560.7856873112</v>
      </c>
      <c r="W130" s="379">
        <f t="shared" si="17"/>
        <v>537092.00140105735</v>
      </c>
      <c r="X130" s="379">
        <f t="shared" si="17"/>
        <v>547833.84142907849</v>
      </c>
      <c r="Y130" s="379">
        <f t="shared" si="17"/>
        <v>0</v>
      </c>
      <c r="Z130" s="379">
        <f t="shared" si="17"/>
        <v>0</v>
      </c>
      <c r="AA130" s="379">
        <f t="shared" si="17"/>
        <v>0</v>
      </c>
      <c r="AB130" s="379">
        <f t="shared" si="17"/>
        <v>0</v>
      </c>
      <c r="AC130" s="379">
        <f t="shared" si="17"/>
        <v>0</v>
      </c>
      <c r="AD130" s="379">
        <f t="shared" si="17"/>
        <v>0</v>
      </c>
      <c r="AE130" s="379">
        <f t="shared" si="17"/>
        <v>0</v>
      </c>
      <c r="AF130" s="379">
        <f t="shared" si="17"/>
        <v>0</v>
      </c>
      <c r="AG130" s="379">
        <f t="shared" si="17"/>
        <v>0</v>
      </c>
      <c r="AH130" s="379">
        <f t="shared" si="17"/>
        <v>0</v>
      </c>
      <c r="AI130" s="379">
        <f t="shared" si="17"/>
        <v>0</v>
      </c>
      <c r="AJ130" s="379">
        <f t="shared" si="17"/>
        <v>0</v>
      </c>
      <c r="AK130" s="379">
        <f t="shared" si="17"/>
        <v>0</v>
      </c>
      <c r="AL130" s="379">
        <f t="shared" si="17"/>
        <v>0</v>
      </c>
      <c r="AM130" s="379">
        <f t="shared" si="17"/>
        <v>0</v>
      </c>
      <c r="AN130" s="379">
        <f t="shared" si="17"/>
        <v>0</v>
      </c>
      <c r="AO130" s="379">
        <f t="shared" si="17"/>
        <v>0</v>
      </c>
      <c r="AP130" s="379">
        <f t="shared" si="17"/>
        <v>0</v>
      </c>
      <c r="AQ130" s="379">
        <f t="shared" si="17"/>
        <v>0</v>
      </c>
      <c r="AR130" s="120">
        <f t="shared" si="17"/>
        <v>0</v>
      </c>
    </row>
    <row r="131" spans="1:44" x14ac:dyDescent="0.25">
      <c r="B131" s="118" t="s">
        <v>457</v>
      </c>
      <c r="C131" s="373" t="s">
        <v>424</v>
      </c>
      <c r="D131" s="373"/>
      <c r="E131" s="379">
        <f t="shared" ref="E131:AR131" si="18">SUM(E120:E121)</f>
        <v>-200460</v>
      </c>
      <c r="F131" s="379">
        <f t="shared" si="18"/>
        <v>-204469.2</v>
      </c>
      <c r="G131" s="379">
        <f t="shared" si="18"/>
        <v>-208558.584</v>
      </c>
      <c r="H131" s="379">
        <f t="shared" si="18"/>
        <v>-212729.75567999997</v>
      </c>
      <c r="I131" s="379">
        <f t="shared" si="18"/>
        <v>-216984.3507936</v>
      </c>
      <c r="J131" s="379">
        <f t="shared" si="18"/>
        <v>-221324.03780947201</v>
      </c>
      <c r="K131" s="379">
        <f t="shared" si="18"/>
        <v>-225750.51856566145</v>
      </c>
      <c r="L131" s="379">
        <f t="shared" si="18"/>
        <v>-230265.52893697465</v>
      </c>
      <c r="M131" s="379">
        <f t="shared" si="18"/>
        <v>-234870.83951571415</v>
      </c>
      <c r="N131" s="379">
        <f t="shared" si="18"/>
        <v>-239568.25630602843</v>
      </c>
      <c r="O131" s="379">
        <f t="shared" si="18"/>
        <v>-244359.621432149</v>
      </c>
      <c r="P131" s="379">
        <f t="shared" si="18"/>
        <v>-249246.81386079194</v>
      </c>
      <c r="Q131" s="379">
        <f t="shared" si="18"/>
        <v>-419103.18343113875</v>
      </c>
      <c r="R131" s="379">
        <f t="shared" si="18"/>
        <v>-259316.38514076796</v>
      </c>
      <c r="S131" s="379">
        <f t="shared" si="18"/>
        <v>-264502.71284358337</v>
      </c>
      <c r="T131" s="379">
        <f t="shared" si="18"/>
        <v>-267841.25800988497</v>
      </c>
      <c r="U131" s="379">
        <f t="shared" si="18"/>
        <v>-273198.08317008271</v>
      </c>
      <c r="V131" s="379">
        <f t="shared" si="18"/>
        <v>-278662.0448334844</v>
      </c>
      <c r="W131" s="379">
        <f t="shared" si="18"/>
        <v>-284235.28573015402</v>
      </c>
      <c r="X131" s="379">
        <f t="shared" si="18"/>
        <v>-289919.99144475709</v>
      </c>
      <c r="Y131" s="379">
        <f t="shared" si="18"/>
        <v>0</v>
      </c>
      <c r="Z131" s="379">
        <f t="shared" si="18"/>
        <v>0</v>
      </c>
      <c r="AA131" s="379">
        <f t="shared" si="18"/>
        <v>0</v>
      </c>
      <c r="AB131" s="379">
        <f t="shared" si="18"/>
        <v>0</v>
      </c>
      <c r="AC131" s="379">
        <f t="shared" si="18"/>
        <v>0</v>
      </c>
      <c r="AD131" s="379">
        <f t="shared" si="18"/>
        <v>0</v>
      </c>
      <c r="AE131" s="379">
        <f t="shared" si="18"/>
        <v>0</v>
      </c>
      <c r="AF131" s="379">
        <f t="shared" si="18"/>
        <v>0</v>
      </c>
      <c r="AG131" s="379">
        <f t="shared" si="18"/>
        <v>0</v>
      </c>
      <c r="AH131" s="379">
        <f t="shared" si="18"/>
        <v>0</v>
      </c>
      <c r="AI131" s="379">
        <f t="shared" si="18"/>
        <v>0</v>
      </c>
      <c r="AJ131" s="379">
        <f t="shared" si="18"/>
        <v>0</v>
      </c>
      <c r="AK131" s="379">
        <f t="shared" si="18"/>
        <v>0</v>
      </c>
      <c r="AL131" s="379">
        <f t="shared" si="18"/>
        <v>0</v>
      </c>
      <c r="AM131" s="379">
        <f t="shared" si="18"/>
        <v>0</v>
      </c>
      <c r="AN131" s="379">
        <f t="shared" si="18"/>
        <v>0</v>
      </c>
      <c r="AO131" s="379">
        <f t="shared" si="18"/>
        <v>0</v>
      </c>
      <c r="AP131" s="379">
        <f t="shared" si="18"/>
        <v>0</v>
      </c>
      <c r="AQ131" s="379">
        <f t="shared" si="18"/>
        <v>0</v>
      </c>
      <c r="AR131" s="120">
        <f t="shared" si="18"/>
        <v>0</v>
      </c>
    </row>
    <row r="132" spans="1:44" x14ac:dyDescent="0.25">
      <c r="B132" s="149" t="s">
        <v>458</v>
      </c>
      <c r="C132" s="381" t="s">
        <v>424</v>
      </c>
      <c r="D132" s="385"/>
      <c r="E132" s="386">
        <f>SUM(E130:E131)</f>
        <v>-200460</v>
      </c>
      <c r="F132" s="386">
        <f t="shared" ref="F132:AR132" si="19">SUM(F130:F131)</f>
        <v>-204469.2</v>
      </c>
      <c r="G132" s="386">
        <f t="shared" si="19"/>
        <v>-208558.584</v>
      </c>
      <c r="H132" s="386">
        <f t="shared" si="19"/>
        <v>-212729.75567999997</v>
      </c>
      <c r="I132" s="386">
        <f t="shared" si="19"/>
        <v>-216984.3507936</v>
      </c>
      <c r="J132" s="386">
        <f t="shared" si="19"/>
        <v>-221324.03780947201</v>
      </c>
      <c r="K132" s="386">
        <f t="shared" si="19"/>
        <v>-225750.51856566145</v>
      </c>
      <c r="L132" s="386">
        <f t="shared" si="19"/>
        <v>-230265.52893697465</v>
      </c>
      <c r="M132" s="386">
        <f t="shared" si="19"/>
        <v>-234870.83951571415</v>
      </c>
      <c r="N132" s="386">
        <f t="shared" si="19"/>
        <v>-239568.25630602843</v>
      </c>
      <c r="O132" s="386">
        <f t="shared" si="19"/>
        <v>-244359.621432149</v>
      </c>
      <c r="P132" s="386">
        <f t="shared" si="19"/>
        <v>-249246.81386079194</v>
      </c>
      <c r="Q132" s="386">
        <f t="shared" si="19"/>
        <v>-419103.18343113875</v>
      </c>
      <c r="R132" s="386">
        <f t="shared" si="19"/>
        <v>-259316.38514076796</v>
      </c>
      <c r="S132" s="386">
        <f t="shared" si="19"/>
        <v>-264502.71284358337</v>
      </c>
      <c r="T132" s="386">
        <f t="shared" si="19"/>
        <v>238272.53061690379</v>
      </c>
      <c r="U132" s="386">
        <f t="shared" si="19"/>
        <v>243037.98122924194</v>
      </c>
      <c r="V132" s="386">
        <f t="shared" si="19"/>
        <v>247898.74085382681</v>
      </c>
      <c r="W132" s="386">
        <f t="shared" si="19"/>
        <v>252856.71567090333</v>
      </c>
      <c r="X132" s="386">
        <f t="shared" si="19"/>
        <v>257913.84998432139</v>
      </c>
      <c r="Y132" s="386">
        <f t="shared" si="19"/>
        <v>0</v>
      </c>
      <c r="Z132" s="386">
        <f t="shared" si="19"/>
        <v>0</v>
      </c>
      <c r="AA132" s="386">
        <f t="shared" si="19"/>
        <v>0</v>
      </c>
      <c r="AB132" s="386">
        <f t="shared" si="19"/>
        <v>0</v>
      </c>
      <c r="AC132" s="386">
        <f t="shared" si="19"/>
        <v>0</v>
      </c>
      <c r="AD132" s="386">
        <f t="shared" si="19"/>
        <v>0</v>
      </c>
      <c r="AE132" s="386">
        <f t="shared" si="19"/>
        <v>0</v>
      </c>
      <c r="AF132" s="386">
        <f t="shared" si="19"/>
        <v>0</v>
      </c>
      <c r="AG132" s="386">
        <f t="shared" si="19"/>
        <v>0</v>
      </c>
      <c r="AH132" s="386">
        <f t="shared" si="19"/>
        <v>0</v>
      </c>
      <c r="AI132" s="386">
        <f t="shared" si="19"/>
        <v>0</v>
      </c>
      <c r="AJ132" s="386">
        <f t="shared" si="19"/>
        <v>0</v>
      </c>
      <c r="AK132" s="386">
        <f t="shared" si="19"/>
        <v>0</v>
      </c>
      <c r="AL132" s="386">
        <f t="shared" si="19"/>
        <v>0</v>
      </c>
      <c r="AM132" s="386">
        <f t="shared" si="19"/>
        <v>0</v>
      </c>
      <c r="AN132" s="386">
        <f t="shared" si="19"/>
        <v>0</v>
      </c>
      <c r="AO132" s="386">
        <f t="shared" si="19"/>
        <v>0</v>
      </c>
      <c r="AP132" s="386">
        <f t="shared" si="19"/>
        <v>0</v>
      </c>
      <c r="AQ132" s="386">
        <f t="shared" si="19"/>
        <v>0</v>
      </c>
      <c r="AR132" s="152">
        <f t="shared" si="19"/>
        <v>0</v>
      </c>
    </row>
    <row r="133" spans="1:44" ht="13" x14ac:dyDescent="0.3">
      <c r="B133" s="131" t="s">
        <v>459</v>
      </c>
      <c r="C133" s="376"/>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133"/>
    </row>
    <row r="134" spans="1:44" x14ac:dyDescent="0.25">
      <c r="B134" s="118" t="s">
        <v>460</v>
      </c>
      <c r="C134" s="373" t="s">
        <v>424</v>
      </c>
      <c r="D134" s="373"/>
      <c r="E134" s="379">
        <f t="shared" ref="E134:AR134" si="20">IF(E112&gt;$C$75,0,-$C$152/$C$75)</f>
        <v>-345908.33333333331</v>
      </c>
      <c r="F134" s="379">
        <f t="shared" si="20"/>
        <v>-345908.33333333331</v>
      </c>
      <c r="G134" s="379">
        <f t="shared" si="20"/>
        <v>-345908.33333333331</v>
      </c>
      <c r="H134" s="379">
        <f t="shared" si="20"/>
        <v>-345908.33333333331</v>
      </c>
      <c r="I134" s="379">
        <f t="shared" si="20"/>
        <v>-345908.33333333331</v>
      </c>
      <c r="J134" s="379">
        <f t="shared" si="20"/>
        <v>-345908.33333333331</v>
      </c>
      <c r="K134" s="379">
        <f t="shared" si="20"/>
        <v>-345908.33333333331</v>
      </c>
      <c r="L134" s="379">
        <f t="shared" si="20"/>
        <v>-345908.33333333331</v>
      </c>
      <c r="M134" s="379">
        <f t="shared" si="20"/>
        <v>-345908.33333333331</v>
      </c>
      <c r="N134" s="379">
        <f t="shared" si="20"/>
        <v>-345908.33333333331</v>
      </c>
      <c r="O134" s="379">
        <f t="shared" si="20"/>
        <v>-345908.33333333331</v>
      </c>
      <c r="P134" s="379">
        <f t="shared" si="20"/>
        <v>-345908.33333333331</v>
      </c>
      <c r="Q134" s="379">
        <f t="shared" si="20"/>
        <v>-345908.33333333331</v>
      </c>
      <c r="R134" s="379">
        <f t="shared" si="20"/>
        <v>-345908.33333333331</v>
      </c>
      <c r="S134" s="379">
        <f t="shared" si="20"/>
        <v>-345908.33333333331</v>
      </c>
      <c r="T134" s="379">
        <f t="shared" si="20"/>
        <v>0</v>
      </c>
      <c r="U134" s="379">
        <f t="shared" si="20"/>
        <v>0</v>
      </c>
      <c r="V134" s="379">
        <f t="shared" si="20"/>
        <v>0</v>
      </c>
      <c r="W134" s="379">
        <f t="shared" si="20"/>
        <v>0</v>
      </c>
      <c r="X134" s="379">
        <f t="shared" si="20"/>
        <v>0</v>
      </c>
      <c r="Y134" s="379">
        <f t="shared" si="20"/>
        <v>0</v>
      </c>
      <c r="Z134" s="379">
        <f t="shared" si="20"/>
        <v>0</v>
      </c>
      <c r="AA134" s="379">
        <f t="shared" si="20"/>
        <v>0</v>
      </c>
      <c r="AB134" s="379">
        <f t="shared" si="20"/>
        <v>0</v>
      </c>
      <c r="AC134" s="379">
        <f t="shared" si="20"/>
        <v>0</v>
      </c>
      <c r="AD134" s="379">
        <f t="shared" si="20"/>
        <v>0</v>
      </c>
      <c r="AE134" s="379">
        <f t="shared" si="20"/>
        <v>0</v>
      </c>
      <c r="AF134" s="379">
        <f t="shared" si="20"/>
        <v>0</v>
      </c>
      <c r="AG134" s="379">
        <f t="shared" si="20"/>
        <v>0</v>
      </c>
      <c r="AH134" s="379">
        <f t="shared" si="20"/>
        <v>0</v>
      </c>
      <c r="AI134" s="379">
        <f t="shared" si="20"/>
        <v>0</v>
      </c>
      <c r="AJ134" s="379">
        <f t="shared" si="20"/>
        <v>0</v>
      </c>
      <c r="AK134" s="379">
        <f t="shared" si="20"/>
        <v>0</v>
      </c>
      <c r="AL134" s="379">
        <f t="shared" si="20"/>
        <v>0</v>
      </c>
      <c r="AM134" s="379">
        <f t="shared" si="20"/>
        <v>0</v>
      </c>
      <c r="AN134" s="379">
        <f t="shared" si="20"/>
        <v>0</v>
      </c>
      <c r="AO134" s="379">
        <f t="shared" si="20"/>
        <v>0</v>
      </c>
      <c r="AP134" s="379">
        <f t="shared" si="20"/>
        <v>0</v>
      </c>
      <c r="AQ134" s="379">
        <f t="shared" si="20"/>
        <v>0</v>
      </c>
      <c r="AR134" s="120">
        <f t="shared" si="20"/>
        <v>0</v>
      </c>
    </row>
    <row r="135" spans="1:44" x14ac:dyDescent="0.25">
      <c r="B135" s="118" t="s">
        <v>461</v>
      </c>
      <c r="C135" s="373" t="s">
        <v>424</v>
      </c>
      <c r="D135" s="373"/>
      <c r="E135" s="379">
        <f t="shared" ref="E135:AR135" si="21">IF(E112&gt;$C$74,0,IPMT($C$90,E112,$C$74,$C$157))</f>
        <v>-155658.75000000003</v>
      </c>
      <c r="F135" s="379">
        <f t="shared" si="21"/>
        <v>-147884.98074262976</v>
      </c>
      <c r="G135" s="379">
        <f t="shared" si="21"/>
        <v>-139800.26071496477</v>
      </c>
      <c r="H135" s="379">
        <f t="shared" si="21"/>
        <v>-131392.15188619311</v>
      </c>
      <c r="I135" s="379">
        <f t="shared" si="21"/>
        <v>-122647.71870427061</v>
      </c>
      <c r="J135" s="379">
        <f t="shared" si="21"/>
        <v>-113553.5081950712</v>
      </c>
      <c r="K135" s="379">
        <f t="shared" si="21"/>
        <v>-104095.52926550384</v>
      </c>
      <c r="L135" s="379">
        <f t="shared" si="21"/>
        <v>-94259.231178753762</v>
      </c>
      <c r="M135" s="379">
        <f t="shared" si="21"/>
        <v>-84029.48116853369</v>
      </c>
      <c r="N135" s="379">
        <f t="shared" si="21"/>
        <v>-73390.541157904809</v>
      </c>
      <c r="O135" s="379">
        <f t="shared" si="21"/>
        <v>-62326.043546850779</v>
      </c>
      <c r="P135" s="379">
        <f t="shared" si="21"/>
        <v>-50818.96603135459</v>
      </c>
      <c r="Q135" s="379">
        <f t="shared" si="21"/>
        <v>-38851.605415238548</v>
      </c>
      <c r="R135" s="379">
        <f t="shared" si="21"/>
        <v>-26405.550374477865</v>
      </c>
      <c r="S135" s="379">
        <f t="shared" si="21"/>
        <v>-13461.653132086754</v>
      </c>
      <c r="T135" s="379">
        <f t="shared" si="21"/>
        <v>0</v>
      </c>
      <c r="U135" s="379">
        <f t="shared" si="21"/>
        <v>0</v>
      </c>
      <c r="V135" s="379">
        <f t="shared" si="21"/>
        <v>0</v>
      </c>
      <c r="W135" s="379">
        <f t="shared" si="21"/>
        <v>0</v>
      </c>
      <c r="X135" s="379">
        <f t="shared" si="21"/>
        <v>0</v>
      </c>
      <c r="Y135" s="379">
        <f t="shared" si="21"/>
        <v>0</v>
      </c>
      <c r="Z135" s="379">
        <f t="shared" si="21"/>
        <v>0</v>
      </c>
      <c r="AA135" s="379">
        <f t="shared" si="21"/>
        <v>0</v>
      </c>
      <c r="AB135" s="379">
        <f t="shared" si="21"/>
        <v>0</v>
      </c>
      <c r="AC135" s="379">
        <f t="shared" si="21"/>
        <v>0</v>
      </c>
      <c r="AD135" s="379">
        <f t="shared" si="21"/>
        <v>0</v>
      </c>
      <c r="AE135" s="379">
        <f t="shared" si="21"/>
        <v>0</v>
      </c>
      <c r="AF135" s="379">
        <f t="shared" si="21"/>
        <v>0</v>
      </c>
      <c r="AG135" s="379">
        <f t="shared" si="21"/>
        <v>0</v>
      </c>
      <c r="AH135" s="379">
        <f t="shared" si="21"/>
        <v>0</v>
      </c>
      <c r="AI135" s="379">
        <f t="shared" si="21"/>
        <v>0</v>
      </c>
      <c r="AJ135" s="379">
        <f t="shared" si="21"/>
        <v>0</v>
      </c>
      <c r="AK135" s="379">
        <f t="shared" si="21"/>
        <v>0</v>
      </c>
      <c r="AL135" s="379">
        <f t="shared" si="21"/>
        <v>0</v>
      </c>
      <c r="AM135" s="379">
        <f t="shared" si="21"/>
        <v>0</v>
      </c>
      <c r="AN135" s="379">
        <f t="shared" si="21"/>
        <v>0</v>
      </c>
      <c r="AO135" s="379">
        <f t="shared" si="21"/>
        <v>0</v>
      </c>
      <c r="AP135" s="379">
        <f t="shared" si="21"/>
        <v>0</v>
      </c>
      <c r="AQ135" s="379">
        <f t="shared" si="21"/>
        <v>0</v>
      </c>
      <c r="AR135" s="120">
        <f t="shared" si="21"/>
        <v>0</v>
      </c>
    </row>
    <row r="136" spans="1:44" x14ac:dyDescent="0.25">
      <c r="B136" s="118" t="s">
        <v>462</v>
      </c>
      <c r="C136" s="373" t="s">
        <v>424</v>
      </c>
      <c r="D136" s="373"/>
      <c r="E136" s="379">
        <f t="shared" ref="E136:AR136" si="22">IF(E112&gt;$C$74,0,PPMT($C$90,E112,$C$74,$C$157))</f>
        <v>-194344.23143425566</v>
      </c>
      <c r="F136" s="379">
        <f t="shared" si="22"/>
        <v>-202118.00069162584</v>
      </c>
      <c r="G136" s="379">
        <f t="shared" si="22"/>
        <v>-210202.72071929087</v>
      </c>
      <c r="H136" s="379">
        <f t="shared" si="22"/>
        <v>-218610.82954806252</v>
      </c>
      <c r="I136" s="379">
        <f t="shared" si="22"/>
        <v>-227355.262729985</v>
      </c>
      <c r="J136" s="379">
        <f t="shared" si="22"/>
        <v>-236449.47323918439</v>
      </c>
      <c r="K136" s="379">
        <f t="shared" si="22"/>
        <v>-245907.45216875177</v>
      </c>
      <c r="L136" s="379">
        <f t="shared" si="22"/>
        <v>-255743.75025550183</v>
      </c>
      <c r="M136" s="379">
        <f t="shared" si="22"/>
        <v>-265973.50026572193</v>
      </c>
      <c r="N136" s="379">
        <f t="shared" si="22"/>
        <v>-276612.44027635077</v>
      </c>
      <c r="O136" s="379">
        <f t="shared" si="22"/>
        <v>-287676.93788740481</v>
      </c>
      <c r="P136" s="379">
        <f t="shared" si="22"/>
        <v>-299184.01540290104</v>
      </c>
      <c r="Q136" s="379">
        <f t="shared" si="22"/>
        <v>-311151.37601901707</v>
      </c>
      <c r="R136" s="379">
        <f t="shared" si="22"/>
        <v>-323597.43105977774</v>
      </c>
      <c r="S136" s="379">
        <f t="shared" si="22"/>
        <v>-336541.32830216887</v>
      </c>
      <c r="T136" s="379">
        <f t="shared" si="22"/>
        <v>0</v>
      </c>
      <c r="U136" s="379">
        <f t="shared" si="22"/>
        <v>0</v>
      </c>
      <c r="V136" s="379">
        <f t="shared" si="22"/>
        <v>0</v>
      </c>
      <c r="W136" s="379">
        <f t="shared" si="22"/>
        <v>0</v>
      </c>
      <c r="X136" s="379">
        <f t="shared" si="22"/>
        <v>0</v>
      </c>
      <c r="Y136" s="379">
        <f t="shared" si="22"/>
        <v>0</v>
      </c>
      <c r="Z136" s="379">
        <f t="shared" si="22"/>
        <v>0</v>
      </c>
      <c r="AA136" s="379">
        <f t="shared" si="22"/>
        <v>0</v>
      </c>
      <c r="AB136" s="379">
        <f t="shared" si="22"/>
        <v>0</v>
      </c>
      <c r="AC136" s="379">
        <f t="shared" si="22"/>
        <v>0</v>
      </c>
      <c r="AD136" s="379">
        <f t="shared" si="22"/>
        <v>0</v>
      </c>
      <c r="AE136" s="379">
        <f t="shared" si="22"/>
        <v>0</v>
      </c>
      <c r="AF136" s="379">
        <f t="shared" si="22"/>
        <v>0</v>
      </c>
      <c r="AG136" s="379">
        <f t="shared" si="22"/>
        <v>0</v>
      </c>
      <c r="AH136" s="379">
        <f t="shared" si="22"/>
        <v>0</v>
      </c>
      <c r="AI136" s="379">
        <f t="shared" si="22"/>
        <v>0</v>
      </c>
      <c r="AJ136" s="379">
        <f t="shared" si="22"/>
        <v>0</v>
      </c>
      <c r="AK136" s="379">
        <f t="shared" si="22"/>
        <v>0</v>
      </c>
      <c r="AL136" s="379">
        <f t="shared" si="22"/>
        <v>0</v>
      </c>
      <c r="AM136" s="379">
        <f t="shared" si="22"/>
        <v>0</v>
      </c>
      <c r="AN136" s="379">
        <f t="shared" si="22"/>
        <v>0</v>
      </c>
      <c r="AO136" s="379">
        <f t="shared" si="22"/>
        <v>0</v>
      </c>
      <c r="AP136" s="379">
        <f t="shared" si="22"/>
        <v>0</v>
      </c>
      <c r="AQ136" s="379">
        <f t="shared" si="22"/>
        <v>0</v>
      </c>
      <c r="AR136" s="120">
        <f t="shared" si="22"/>
        <v>0</v>
      </c>
    </row>
    <row r="137" spans="1:44" s="54" customFormat="1" ht="13" x14ac:dyDescent="0.3">
      <c r="A137" s="16"/>
      <c r="B137" s="149" t="s">
        <v>463</v>
      </c>
      <c r="C137" s="381" t="s">
        <v>424</v>
      </c>
      <c r="D137" s="381"/>
      <c r="E137" s="386">
        <f>SUM(E135,E136)</f>
        <v>-350002.98143425572</v>
      </c>
      <c r="F137" s="386">
        <f t="shared" ref="F137:AR137" si="23">SUM(F135,F136)</f>
        <v>-350002.98143425561</v>
      </c>
      <c r="G137" s="386">
        <f t="shared" si="23"/>
        <v>-350002.98143425561</v>
      </c>
      <c r="H137" s="386">
        <f t="shared" si="23"/>
        <v>-350002.98143425561</v>
      </c>
      <c r="I137" s="386">
        <f t="shared" si="23"/>
        <v>-350002.98143425561</v>
      </c>
      <c r="J137" s="386">
        <f t="shared" si="23"/>
        <v>-350002.98143425561</v>
      </c>
      <c r="K137" s="386">
        <f t="shared" si="23"/>
        <v>-350002.98143425561</v>
      </c>
      <c r="L137" s="386">
        <f t="shared" si="23"/>
        <v>-350002.98143425561</v>
      </c>
      <c r="M137" s="386">
        <f t="shared" si="23"/>
        <v>-350002.98143425561</v>
      </c>
      <c r="N137" s="386">
        <f t="shared" si="23"/>
        <v>-350002.98143425561</v>
      </c>
      <c r="O137" s="386">
        <f t="shared" si="23"/>
        <v>-350002.98143425561</v>
      </c>
      <c r="P137" s="386">
        <f t="shared" si="23"/>
        <v>-350002.98143425561</v>
      </c>
      <c r="Q137" s="386">
        <f t="shared" si="23"/>
        <v>-350002.98143425561</v>
      </c>
      <c r="R137" s="386">
        <f t="shared" si="23"/>
        <v>-350002.98143425561</v>
      </c>
      <c r="S137" s="386">
        <f t="shared" si="23"/>
        <v>-350002.98143425561</v>
      </c>
      <c r="T137" s="386">
        <f t="shared" si="23"/>
        <v>0</v>
      </c>
      <c r="U137" s="386">
        <f t="shared" si="23"/>
        <v>0</v>
      </c>
      <c r="V137" s="386">
        <f t="shared" si="23"/>
        <v>0</v>
      </c>
      <c r="W137" s="386">
        <f t="shared" si="23"/>
        <v>0</v>
      </c>
      <c r="X137" s="386">
        <f t="shared" si="23"/>
        <v>0</v>
      </c>
      <c r="Y137" s="386">
        <f t="shared" si="23"/>
        <v>0</v>
      </c>
      <c r="Z137" s="386">
        <f t="shared" si="23"/>
        <v>0</v>
      </c>
      <c r="AA137" s="386">
        <f t="shared" si="23"/>
        <v>0</v>
      </c>
      <c r="AB137" s="386">
        <f t="shared" si="23"/>
        <v>0</v>
      </c>
      <c r="AC137" s="386">
        <f t="shared" si="23"/>
        <v>0</v>
      </c>
      <c r="AD137" s="386">
        <f t="shared" si="23"/>
        <v>0</v>
      </c>
      <c r="AE137" s="386">
        <f t="shared" si="23"/>
        <v>0</v>
      </c>
      <c r="AF137" s="386">
        <f t="shared" si="23"/>
        <v>0</v>
      </c>
      <c r="AG137" s="386">
        <f t="shared" si="23"/>
        <v>0</v>
      </c>
      <c r="AH137" s="386">
        <f t="shared" si="23"/>
        <v>0</v>
      </c>
      <c r="AI137" s="386">
        <f t="shared" si="23"/>
        <v>0</v>
      </c>
      <c r="AJ137" s="386">
        <f t="shared" si="23"/>
        <v>0</v>
      </c>
      <c r="AK137" s="386">
        <f t="shared" si="23"/>
        <v>0</v>
      </c>
      <c r="AL137" s="386">
        <f t="shared" si="23"/>
        <v>0</v>
      </c>
      <c r="AM137" s="386">
        <f t="shared" si="23"/>
        <v>0</v>
      </c>
      <c r="AN137" s="386">
        <f t="shared" si="23"/>
        <v>0</v>
      </c>
      <c r="AO137" s="386">
        <f t="shared" si="23"/>
        <v>0</v>
      </c>
      <c r="AP137" s="386">
        <f t="shared" si="23"/>
        <v>0</v>
      </c>
      <c r="AQ137" s="386">
        <f t="shared" si="23"/>
        <v>0</v>
      </c>
      <c r="AR137" s="152">
        <f t="shared" si="23"/>
        <v>0</v>
      </c>
    </row>
    <row r="138" spans="1:44" ht="13" x14ac:dyDescent="0.3">
      <c r="B138" s="131" t="s">
        <v>464</v>
      </c>
      <c r="C138" s="376"/>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77"/>
      <c r="AJ138" s="377"/>
      <c r="AK138" s="377"/>
      <c r="AL138" s="377"/>
      <c r="AM138" s="377"/>
      <c r="AN138" s="377"/>
      <c r="AO138" s="377"/>
      <c r="AP138" s="377"/>
      <c r="AQ138" s="377"/>
      <c r="AR138" s="133"/>
    </row>
    <row r="139" spans="1:44" x14ac:dyDescent="0.25">
      <c r="B139" s="118" t="s">
        <v>465</v>
      </c>
      <c r="C139" s="373" t="s">
        <v>424</v>
      </c>
      <c r="D139" s="373"/>
      <c r="E139" s="379">
        <f>E132+E134+E135</f>
        <v>-702027.08333333326</v>
      </c>
      <c r="F139" s="379">
        <f t="shared" ref="F139:AR139" si="24">F132+F134+F135</f>
        <v>-698262.51407596306</v>
      </c>
      <c r="G139" s="379">
        <f t="shared" si="24"/>
        <v>-694267.178048298</v>
      </c>
      <c r="H139" s="379">
        <f t="shared" si="24"/>
        <v>-690030.2408995264</v>
      </c>
      <c r="I139" s="379">
        <f t="shared" si="24"/>
        <v>-685540.402831204</v>
      </c>
      <c r="J139" s="379">
        <f t="shared" si="24"/>
        <v>-680785.87933787657</v>
      </c>
      <c r="K139" s="379">
        <f t="shared" si="24"/>
        <v>-675754.38116449863</v>
      </c>
      <c r="L139" s="379">
        <f t="shared" si="24"/>
        <v>-670433.09344906174</v>
      </c>
      <c r="M139" s="379">
        <f t="shared" si="24"/>
        <v>-664808.65401758114</v>
      </c>
      <c r="N139" s="379">
        <f t="shared" si="24"/>
        <v>-658867.13079726649</v>
      </c>
      <c r="O139" s="379">
        <f t="shared" si="24"/>
        <v>-652593.99831233313</v>
      </c>
      <c r="P139" s="379">
        <f t="shared" si="24"/>
        <v>-645974.11322547984</v>
      </c>
      <c r="Q139" s="379">
        <f t="shared" si="24"/>
        <v>-803863.12217971054</v>
      </c>
      <c r="R139" s="379">
        <f t="shared" si="24"/>
        <v>-631630.26884857914</v>
      </c>
      <c r="S139" s="379">
        <f t="shared" si="24"/>
        <v>-623872.69930900342</v>
      </c>
      <c r="T139" s="379">
        <f t="shared" si="24"/>
        <v>238272.53061690379</v>
      </c>
      <c r="U139" s="379">
        <f t="shared" si="24"/>
        <v>243037.98122924194</v>
      </c>
      <c r="V139" s="379">
        <f t="shared" si="24"/>
        <v>247898.74085382681</v>
      </c>
      <c r="W139" s="379">
        <f t="shared" si="24"/>
        <v>252856.71567090333</v>
      </c>
      <c r="X139" s="379">
        <f t="shared" si="24"/>
        <v>257913.84998432139</v>
      </c>
      <c r="Y139" s="379">
        <f t="shared" si="24"/>
        <v>0</v>
      </c>
      <c r="Z139" s="379">
        <f t="shared" si="24"/>
        <v>0</v>
      </c>
      <c r="AA139" s="379">
        <f t="shared" si="24"/>
        <v>0</v>
      </c>
      <c r="AB139" s="379">
        <f t="shared" si="24"/>
        <v>0</v>
      </c>
      <c r="AC139" s="379">
        <f t="shared" si="24"/>
        <v>0</v>
      </c>
      <c r="AD139" s="379">
        <f t="shared" si="24"/>
        <v>0</v>
      </c>
      <c r="AE139" s="379">
        <f t="shared" si="24"/>
        <v>0</v>
      </c>
      <c r="AF139" s="379">
        <f t="shared" si="24"/>
        <v>0</v>
      </c>
      <c r="AG139" s="379">
        <f t="shared" si="24"/>
        <v>0</v>
      </c>
      <c r="AH139" s="379">
        <f t="shared" si="24"/>
        <v>0</v>
      </c>
      <c r="AI139" s="379">
        <f t="shared" si="24"/>
        <v>0</v>
      </c>
      <c r="AJ139" s="379">
        <f t="shared" si="24"/>
        <v>0</v>
      </c>
      <c r="AK139" s="379">
        <f t="shared" si="24"/>
        <v>0</v>
      </c>
      <c r="AL139" s="379">
        <f t="shared" si="24"/>
        <v>0</v>
      </c>
      <c r="AM139" s="379">
        <f t="shared" si="24"/>
        <v>0</v>
      </c>
      <c r="AN139" s="379">
        <f t="shared" si="24"/>
        <v>0</v>
      </c>
      <c r="AO139" s="379">
        <f t="shared" si="24"/>
        <v>0</v>
      </c>
      <c r="AP139" s="379">
        <f t="shared" si="24"/>
        <v>0</v>
      </c>
      <c r="AQ139" s="379">
        <f t="shared" si="24"/>
        <v>0</v>
      </c>
      <c r="AR139" s="120">
        <f t="shared" si="24"/>
        <v>0</v>
      </c>
    </row>
    <row r="140" spans="1:44" x14ac:dyDescent="0.25">
      <c r="B140" s="118" t="s">
        <v>466</v>
      </c>
      <c r="C140" s="373" t="s">
        <v>424</v>
      </c>
      <c r="D140" s="373"/>
      <c r="E140" s="379">
        <f t="shared" ref="E140:AR140" si="25">-$C$94*E139</f>
        <v>133385.14583333331</v>
      </c>
      <c r="F140" s="379">
        <f t="shared" si="25"/>
        <v>132669.877674433</v>
      </c>
      <c r="G140" s="379">
        <f t="shared" si="25"/>
        <v>131910.76382917663</v>
      </c>
      <c r="H140" s="379">
        <f t="shared" si="25"/>
        <v>131105.74577091003</v>
      </c>
      <c r="I140" s="379">
        <f t="shared" si="25"/>
        <v>130252.67653792877</v>
      </c>
      <c r="J140" s="379">
        <f t="shared" si="25"/>
        <v>129349.31707419654</v>
      </c>
      <c r="K140" s="379">
        <f t="shared" si="25"/>
        <v>128393.33242125474</v>
      </c>
      <c r="L140" s="379">
        <f t="shared" si="25"/>
        <v>127382.28775532173</v>
      </c>
      <c r="M140" s="379">
        <f t="shared" si="25"/>
        <v>126313.64426334042</v>
      </c>
      <c r="N140" s="379">
        <f t="shared" si="25"/>
        <v>125184.75485148064</v>
      </c>
      <c r="O140" s="379">
        <f t="shared" si="25"/>
        <v>123992.8596793433</v>
      </c>
      <c r="P140" s="379">
        <f t="shared" si="25"/>
        <v>122735.08151284118</v>
      </c>
      <c r="Q140" s="379">
        <f t="shared" si="25"/>
        <v>152733.99321414501</v>
      </c>
      <c r="R140" s="379">
        <f t="shared" si="25"/>
        <v>120009.75108123003</v>
      </c>
      <c r="S140" s="379">
        <f t="shared" si="25"/>
        <v>118535.81286871065</v>
      </c>
      <c r="T140" s="379">
        <f t="shared" si="25"/>
        <v>-45271.780817211722</v>
      </c>
      <c r="U140" s="379">
        <f t="shared" si="25"/>
        <v>-46177.216433555972</v>
      </c>
      <c r="V140" s="379">
        <f t="shared" si="25"/>
        <v>-47100.760762227095</v>
      </c>
      <c r="W140" s="379">
        <f t="shared" si="25"/>
        <v>-48042.775977471632</v>
      </c>
      <c r="X140" s="379">
        <f t="shared" si="25"/>
        <v>-49003.631497021066</v>
      </c>
      <c r="Y140" s="379">
        <f t="shared" si="25"/>
        <v>0</v>
      </c>
      <c r="Z140" s="379">
        <f t="shared" si="25"/>
        <v>0</v>
      </c>
      <c r="AA140" s="379">
        <f t="shared" si="25"/>
        <v>0</v>
      </c>
      <c r="AB140" s="379">
        <f t="shared" si="25"/>
        <v>0</v>
      </c>
      <c r="AC140" s="379">
        <f t="shared" si="25"/>
        <v>0</v>
      </c>
      <c r="AD140" s="379">
        <f t="shared" si="25"/>
        <v>0</v>
      </c>
      <c r="AE140" s="379">
        <f t="shared" si="25"/>
        <v>0</v>
      </c>
      <c r="AF140" s="379">
        <f t="shared" si="25"/>
        <v>0</v>
      </c>
      <c r="AG140" s="379">
        <f t="shared" si="25"/>
        <v>0</v>
      </c>
      <c r="AH140" s="379">
        <f t="shared" si="25"/>
        <v>0</v>
      </c>
      <c r="AI140" s="379">
        <f t="shared" si="25"/>
        <v>0</v>
      </c>
      <c r="AJ140" s="379">
        <f t="shared" si="25"/>
        <v>0</v>
      </c>
      <c r="AK140" s="379">
        <f t="shared" si="25"/>
        <v>0</v>
      </c>
      <c r="AL140" s="379">
        <f t="shared" si="25"/>
        <v>0</v>
      </c>
      <c r="AM140" s="379">
        <f t="shared" si="25"/>
        <v>0</v>
      </c>
      <c r="AN140" s="379">
        <f t="shared" si="25"/>
        <v>0</v>
      </c>
      <c r="AO140" s="379">
        <f t="shared" si="25"/>
        <v>0</v>
      </c>
      <c r="AP140" s="379">
        <f t="shared" si="25"/>
        <v>0</v>
      </c>
      <c r="AQ140" s="379">
        <f t="shared" si="25"/>
        <v>0</v>
      </c>
      <c r="AR140" s="120">
        <f t="shared" si="25"/>
        <v>0</v>
      </c>
    </row>
    <row r="141" spans="1:44" ht="13" x14ac:dyDescent="0.3">
      <c r="B141" s="131" t="s">
        <v>467</v>
      </c>
      <c r="C141" s="376"/>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133"/>
    </row>
    <row r="142" spans="1:44" x14ac:dyDescent="0.25">
      <c r="B142" s="149" t="s">
        <v>468</v>
      </c>
      <c r="C142" s="381" t="s">
        <v>424</v>
      </c>
      <c r="D142" s="381"/>
      <c r="E142" s="386">
        <f t="shared" ref="E142:AR142" si="26">E132+E137+E140</f>
        <v>-417077.83560092241</v>
      </c>
      <c r="F142" s="386">
        <f t="shared" si="26"/>
        <v>-421802.30375982256</v>
      </c>
      <c r="G142" s="386">
        <f t="shared" si="26"/>
        <v>-426650.80160507897</v>
      </c>
      <c r="H142" s="386">
        <f t="shared" si="26"/>
        <v>-431626.99134334549</v>
      </c>
      <c r="I142" s="386">
        <f t="shared" si="26"/>
        <v>-436734.65568992682</v>
      </c>
      <c r="J142" s="386">
        <f t="shared" si="26"/>
        <v>-441977.70216953114</v>
      </c>
      <c r="K142" s="386">
        <f t="shared" si="26"/>
        <v>-447360.1675786624</v>
      </c>
      <c r="L142" s="386">
        <f t="shared" si="26"/>
        <v>-452886.2226159086</v>
      </c>
      <c r="M142" s="386">
        <f t="shared" si="26"/>
        <v>-458560.17668662942</v>
      </c>
      <c r="N142" s="386">
        <f t="shared" si="26"/>
        <v>-464386.48288880341</v>
      </c>
      <c r="O142" s="386">
        <f t="shared" si="26"/>
        <v>-470369.74318706128</v>
      </c>
      <c r="P142" s="386">
        <f t="shared" si="26"/>
        <v>-476514.71378220641</v>
      </c>
      <c r="Q142" s="386">
        <f t="shared" si="26"/>
        <v>-616372.17165124929</v>
      </c>
      <c r="R142" s="386">
        <f t="shared" si="26"/>
        <v>-489309.61549379362</v>
      </c>
      <c r="S142" s="386">
        <f t="shared" si="26"/>
        <v>-495969.88140912837</v>
      </c>
      <c r="T142" s="386">
        <f t="shared" si="26"/>
        <v>193000.74979969207</v>
      </c>
      <c r="U142" s="386">
        <f t="shared" si="26"/>
        <v>196860.76479568597</v>
      </c>
      <c r="V142" s="386">
        <f t="shared" si="26"/>
        <v>200797.98009159972</v>
      </c>
      <c r="W142" s="386">
        <f t="shared" si="26"/>
        <v>204813.93969343169</v>
      </c>
      <c r="X142" s="386">
        <f t="shared" si="26"/>
        <v>208910.21848730033</v>
      </c>
      <c r="Y142" s="386">
        <f t="shared" si="26"/>
        <v>0</v>
      </c>
      <c r="Z142" s="386">
        <f t="shared" si="26"/>
        <v>0</v>
      </c>
      <c r="AA142" s="386">
        <f t="shared" si="26"/>
        <v>0</v>
      </c>
      <c r="AB142" s="386">
        <f t="shared" si="26"/>
        <v>0</v>
      </c>
      <c r="AC142" s="386">
        <f t="shared" si="26"/>
        <v>0</v>
      </c>
      <c r="AD142" s="386">
        <f t="shared" si="26"/>
        <v>0</v>
      </c>
      <c r="AE142" s="386">
        <f t="shared" si="26"/>
        <v>0</v>
      </c>
      <c r="AF142" s="386">
        <f t="shared" si="26"/>
        <v>0</v>
      </c>
      <c r="AG142" s="386">
        <f t="shared" si="26"/>
        <v>0</v>
      </c>
      <c r="AH142" s="386">
        <f t="shared" si="26"/>
        <v>0</v>
      </c>
      <c r="AI142" s="386">
        <f t="shared" si="26"/>
        <v>0</v>
      </c>
      <c r="AJ142" s="386">
        <f t="shared" si="26"/>
        <v>0</v>
      </c>
      <c r="AK142" s="386">
        <f t="shared" si="26"/>
        <v>0</v>
      </c>
      <c r="AL142" s="386">
        <f t="shared" si="26"/>
        <v>0</v>
      </c>
      <c r="AM142" s="386">
        <f t="shared" si="26"/>
        <v>0</v>
      </c>
      <c r="AN142" s="386">
        <f t="shared" si="26"/>
        <v>0</v>
      </c>
      <c r="AO142" s="386">
        <f t="shared" si="26"/>
        <v>0</v>
      </c>
      <c r="AP142" s="386">
        <f t="shared" si="26"/>
        <v>0</v>
      </c>
      <c r="AQ142" s="386">
        <f t="shared" si="26"/>
        <v>0</v>
      </c>
      <c r="AR142" s="152">
        <f t="shared" si="26"/>
        <v>0</v>
      </c>
    </row>
    <row r="143" spans="1:44" x14ac:dyDescent="0.25">
      <c r="B143" s="118" t="s">
        <v>469</v>
      </c>
      <c r="C143" s="373" t="s">
        <v>424</v>
      </c>
      <c r="D143" s="384">
        <f>-SUM(C157:C158)</f>
        <v>-5188625</v>
      </c>
      <c r="E143" s="379">
        <f>E132+E140</f>
        <v>-67074.854166666686</v>
      </c>
      <c r="F143" s="379">
        <f t="shared" ref="F143:AR143" si="27">F132+F140</f>
        <v>-71799.322325567016</v>
      </c>
      <c r="G143" s="379">
        <f t="shared" si="27"/>
        <v>-76647.820170823368</v>
      </c>
      <c r="H143" s="379">
        <f t="shared" si="27"/>
        <v>-81624.009909089946</v>
      </c>
      <c r="I143" s="379">
        <f t="shared" si="27"/>
        <v>-86731.674255671227</v>
      </c>
      <c r="J143" s="379">
        <f t="shared" si="27"/>
        <v>-91974.720735275463</v>
      </c>
      <c r="K143" s="379">
        <f t="shared" si="27"/>
        <v>-97357.186144406704</v>
      </c>
      <c r="L143" s="379">
        <f t="shared" si="27"/>
        <v>-102883.24118165292</v>
      </c>
      <c r="M143" s="379">
        <f t="shared" si="27"/>
        <v>-108557.19525237373</v>
      </c>
      <c r="N143" s="379">
        <f t="shared" si="27"/>
        <v>-114383.50145454779</v>
      </c>
      <c r="O143" s="379">
        <f t="shared" si="27"/>
        <v>-120366.7617528057</v>
      </c>
      <c r="P143" s="379">
        <f t="shared" si="27"/>
        <v>-126511.73234795076</v>
      </c>
      <c r="Q143" s="379">
        <f t="shared" si="27"/>
        <v>-266369.19021699374</v>
      </c>
      <c r="R143" s="379">
        <f t="shared" si="27"/>
        <v>-139306.63405953793</v>
      </c>
      <c r="S143" s="379">
        <f t="shared" si="27"/>
        <v>-145966.89997487271</v>
      </c>
      <c r="T143" s="379">
        <f t="shared" si="27"/>
        <v>193000.74979969207</v>
      </c>
      <c r="U143" s="379">
        <f t="shared" si="27"/>
        <v>196860.76479568597</v>
      </c>
      <c r="V143" s="379">
        <f t="shared" si="27"/>
        <v>200797.98009159972</v>
      </c>
      <c r="W143" s="379">
        <f t="shared" si="27"/>
        <v>204813.93969343169</v>
      </c>
      <c r="X143" s="379">
        <f t="shared" si="27"/>
        <v>208910.21848730033</v>
      </c>
      <c r="Y143" s="379">
        <f t="shared" si="27"/>
        <v>0</v>
      </c>
      <c r="Z143" s="379">
        <f t="shared" si="27"/>
        <v>0</v>
      </c>
      <c r="AA143" s="379">
        <f t="shared" si="27"/>
        <v>0</v>
      </c>
      <c r="AB143" s="379">
        <f t="shared" si="27"/>
        <v>0</v>
      </c>
      <c r="AC143" s="379">
        <f t="shared" si="27"/>
        <v>0</v>
      </c>
      <c r="AD143" s="379">
        <f t="shared" si="27"/>
        <v>0</v>
      </c>
      <c r="AE143" s="379">
        <f t="shared" si="27"/>
        <v>0</v>
      </c>
      <c r="AF143" s="379">
        <f t="shared" si="27"/>
        <v>0</v>
      </c>
      <c r="AG143" s="379">
        <f t="shared" si="27"/>
        <v>0</v>
      </c>
      <c r="AH143" s="379">
        <f t="shared" si="27"/>
        <v>0</v>
      </c>
      <c r="AI143" s="379">
        <f t="shared" si="27"/>
        <v>0</v>
      </c>
      <c r="AJ143" s="379">
        <f t="shared" si="27"/>
        <v>0</v>
      </c>
      <c r="AK143" s="379">
        <f t="shared" si="27"/>
        <v>0</v>
      </c>
      <c r="AL143" s="379">
        <f t="shared" si="27"/>
        <v>0</v>
      </c>
      <c r="AM143" s="379">
        <f t="shared" si="27"/>
        <v>0</v>
      </c>
      <c r="AN143" s="379">
        <f t="shared" si="27"/>
        <v>0</v>
      </c>
      <c r="AO143" s="379">
        <f t="shared" si="27"/>
        <v>0</v>
      </c>
      <c r="AP143" s="379">
        <f t="shared" si="27"/>
        <v>0</v>
      </c>
      <c r="AQ143" s="379">
        <f t="shared" si="27"/>
        <v>0</v>
      </c>
      <c r="AR143" s="120">
        <f t="shared" si="27"/>
        <v>0</v>
      </c>
    </row>
    <row r="144" spans="1:44" x14ac:dyDescent="0.25">
      <c r="B144" s="118" t="s">
        <v>470</v>
      </c>
      <c r="C144" s="373" t="s">
        <v>424</v>
      </c>
      <c r="D144" s="384">
        <f>-C158</f>
        <v>-1297156.25</v>
      </c>
      <c r="E144" s="379">
        <f>E142</f>
        <v>-417077.83560092241</v>
      </c>
      <c r="F144" s="379">
        <f t="shared" ref="F144:AR144" si="28">F142</f>
        <v>-421802.30375982256</v>
      </c>
      <c r="G144" s="379">
        <f t="shared" si="28"/>
        <v>-426650.80160507897</v>
      </c>
      <c r="H144" s="379">
        <f t="shared" si="28"/>
        <v>-431626.99134334549</v>
      </c>
      <c r="I144" s="379">
        <f t="shared" si="28"/>
        <v>-436734.65568992682</v>
      </c>
      <c r="J144" s="379">
        <f t="shared" si="28"/>
        <v>-441977.70216953114</v>
      </c>
      <c r="K144" s="379">
        <f t="shared" si="28"/>
        <v>-447360.1675786624</v>
      </c>
      <c r="L144" s="379">
        <f t="shared" si="28"/>
        <v>-452886.2226159086</v>
      </c>
      <c r="M144" s="379">
        <f t="shared" si="28"/>
        <v>-458560.17668662942</v>
      </c>
      <c r="N144" s="379">
        <f t="shared" si="28"/>
        <v>-464386.48288880341</v>
      </c>
      <c r="O144" s="379">
        <f t="shared" si="28"/>
        <v>-470369.74318706128</v>
      </c>
      <c r="P144" s="379">
        <f t="shared" si="28"/>
        <v>-476514.71378220641</v>
      </c>
      <c r="Q144" s="379">
        <f t="shared" si="28"/>
        <v>-616372.17165124929</v>
      </c>
      <c r="R144" s="379">
        <f t="shared" si="28"/>
        <v>-489309.61549379362</v>
      </c>
      <c r="S144" s="379">
        <f t="shared" si="28"/>
        <v>-495969.88140912837</v>
      </c>
      <c r="T144" s="379">
        <f t="shared" si="28"/>
        <v>193000.74979969207</v>
      </c>
      <c r="U144" s="379">
        <f t="shared" si="28"/>
        <v>196860.76479568597</v>
      </c>
      <c r="V144" s="379">
        <f t="shared" si="28"/>
        <v>200797.98009159972</v>
      </c>
      <c r="W144" s="379">
        <f t="shared" si="28"/>
        <v>204813.93969343169</v>
      </c>
      <c r="X144" s="379">
        <f t="shared" si="28"/>
        <v>208910.21848730033</v>
      </c>
      <c r="Y144" s="379">
        <f t="shared" si="28"/>
        <v>0</v>
      </c>
      <c r="Z144" s="379">
        <f t="shared" si="28"/>
        <v>0</v>
      </c>
      <c r="AA144" s="379">
        <f t="shared" si="28"/>
        <v>0</v>
      </c>
      <c r="AB144" s="379">
        <f t="shared" si="28"/>
        <v>0</v>
      </c>
      <c r="AC144" s="379">
        <f t="shared" si="28"/>
        <v>0</v>
      </c>
      <c r="AD144" s="379">
        <f t="shared" si="28"/>
        <v>0</v>
      </c>
      <c r="AE144" s="379">
        <f t="shared" si="28"/>
        <v>0</v>
      </c>
      <c r="AF144" s="379">
        <f t="shared" si="28"/>
        <v>0</v>
      </c>
      <c r="AG144" s="379">
        <f t="shared" si="28"/>
        <v>0</v>
      </c>
      <c r="AH144" s="379">
        <f t="shared" si="28"/>
        <v>0</v>
      </c>
      <c r="AI144" s="379">
        <f t="shared" si="28"/>
        <v>0</v>
      </c>
      <c r="AJ144" s="379">
        <f t="shared" si="28"/>
        <v>0</v>
      </c>
      <c r="AK144" s="379">
        <f t="shared" si="28"/>
        <v>0</v>
      </c>
      <c r="AL144" s="379">
        <f t="shared" si="28"/>
        <v>0</v>
      </c>
      <c r="AM144" s="379">
        <f t="shared" si="28"/>
        <v>0</v>
      </c>
      <c r="AN144" s="379">
        <f t="shared" si="28"/>
        <v>0</v>
      </c>
      <c r="AO144" s="379">
        <f t="shared" si="28"/>
        <v>0</v>
      </c>
      <c r="AP144" s="379">
        <f t="shared" si="28"/>
        <v>0</v>
      </c>
      <c r="AQ144" s="379">
        <f t="shared" si="28"/>
        <v>0</v>
      </c>
      <c r="AR144" s="120">
        <f t="shared" si="28"/>
        <v>0</v>
      </c>
    </row>
    <row r="145" spans="1:44" x14ac:dyDescent="0.25">
      <c r="B145" s="118" t="s">
        <v>471</v>
      </c>
      <c r="C145" s="378" t="str">
        <f>$C$7</f>
        <v>kWh</v>
      </c>
      <c r="D145" s="373"/>
      <c r="E145" s="379">
        <f t="shared" ref="E145:AR145" si="29">IF(E112&gt;$C$76,0,E118)</f>
        <v>7400000</v>
      </c>
      <c r="F145" s="379">
        <f t="shared" si="29"/>
        <v>7400000</v>
      </c>
      <c r="G145" s="379">
        <f t="shared" si="29"/>
        <v>7400000</v>
      </c>
      <c r="H145" s="379">
        <f t="shared" si="29"/>
        <v>7400000</v>
      </c>
      <c r="I145" s="379">
        <f t="shared" si="29"/>
        <v>7400000</v>
      </c>
      <c r="J145" s="379">
        <f t="shared" si="29"/>
        <v>7400000</v>
      </c>
      <c r="K145" s="379">
        <f t="shared" si="29"/>
        <v>7400000</v>
      </c>
      <c r="L145" s="379">
        <f t="shared" si="29"/>
        <v>7400000</v>
      </c>
      <c r="M145" s="379">
        <f t="shared" si="29"/>
        <v>7400000</v>
      </c>
      <c r="N145" s="379">
        <f t="shared" si="29"/>
        <v>7400000</v>
      </c>
      <c r="O145" s="379">
        <f t="shared" si="29"/>
        <v>7400000</v>
      </c>
      <c r="P145" s="379">
        <f t="shared" si="29"/>
        <v>7400000</v>
      </c>
      <c r="Q145" s="379">
        <f t="shared" si="29"/>
        <v>7400000</v>
      </c>
      <c r="R145" s="379">
        <f t="shared" si="29"/>
        <v>7400000</v>
      </c>
      <c r="S145" s="379">
        <f t="shared" si="29"/>
        <v>7400000</v>
      </c>
      <c r="T145" s="379">
        <f t="shared" si="29"/>
        <v>0</v>
      </c>
      <c r="U145" s="379">
        <f t="shared" si="29"/>
        <v>0</v>
      </c>
      <c r="V145" s="379">
        <f t="shared" si="29"/>
        <v>0</v>
      </c>
      <c r="W145" s="379">
        <f t="shared" si="29"/>
        <v>0</v>
      </c>
      <c r="X145" s="379">
        <f t="shared" si="29"/>
        <v>0</v>
      </c>
      <c r="Y145" s="379">
        <f t="shared" si="29"/>
        <v>0</v>
      </c>
      <c r="Z145" s="379">
        <f t="shared" si="29"/>
        <v>0</v>
      </c>
      <c r="AA145" s="379">
        <f t="shared" si="29"/>
        <v>0</v>
      </c>
      <c r="AB145" s="379">
        <f t="shared" si="29"/>
        <v>0</v>
      </c>
      <c r="AC145" s="379">
        <f t="shared" si="29"/>
        <v>0</v>
      </c>
      <c r="AD145" s="379">
        <f t="shared" si="29"/>
        <v>0</v>
      </c>
      <c r="AE145" s="379">
        <f t="shared" si="29"/>
        <v>0</v>
      </c>
      <c r="AF145" s="379">
        <f t="shared" si="29"/>
        <v>0</v>
      </c>
      <c r="AG145" s="379">
        <f t="shared" si="29"/>
        <v>0</v>
      </c>
      <c r="AH145" s="379">
        <f t="shared" si="29"/>
        <v>0</v>
      </c>
      <c r="AI145" s="379">
        <f t="shared" si="29"/>
        <v>0</v>
      </c>
      <c r="AJ145" s="379">
        <f t="shared" si="29"/>
        <v>0</v>
      </c>
      <c r="AK145" s="379">
        <f t="shared" si="29"/>
        <v>0</v>
      </c>
      <c r="AL145" s="379">
        <f t="shared" si="29"/>
        <v>0</v>
      </c>
      <c r="AM145" s="379">
        <f t="shared" si="29"/>
        <v>0</v>
      </c>
      <c r="AN145" s="379">
        <f t="shared" si="29"/>
        <v>0</v>
      </c>
      <c r="AO145" s="379">
        <f t="shared" si="29"/>
        <v>0</v>
      </c>
      <c r="AP145" s="379">
        <f t="shared" si="29"/>
        <v>0</v>
      </c>
      <c r="AQ145" s="379">
        <f t="shared" si="29"/>
        <v>0</v>
      </c>
      <c r="AR145" s="120">
        <f t="shared" si="29"/>
        <v>0</v>
      </c>
    </row>
    <row r="146" spans="1:44" x14ac:dyDescent="0.25">
      <c r="B146" s="122" t="s">
        <v>472</v>
      </c>
      <c r="C146" s="373" t="s">
        <v>424</v>
      </c>
      <c r="D146" s="123">
        <f>-D113</f>
        <v>5188625</v>
      </c>
      <c r="E146" s="123">
        <f>IF(E112&lt;=$C76,D146-($C$5*E118+E132+E135),D146-(E132+E135))</f>
        <v>4856543.75</v>
      </c>
      <c r="F146" s="123">
        <f t="shared" ref="F146:AR146" si="30">IF(F112&lt;=$C76,E146-($C$5*F118+F132+F135),E146-(F132+F135))</f>
        <v>4520697.9307426298</v>
      </c>
      <c r="G146" s="123">
        <f t="shared" si="30"/>
        <v>4180856.7754575945</v>
      </c>
      <c r="H146" s="123">
        <f t="shared" si="30"/>
        <v>3836778.6830237876</v>
      </c>
      <c r="I146" s="123">
        <f>IF(I112&lt;=$C76,H146-($C$5*I118+I132+I135),H146-(I132+I135))</f>
        <v>3488210.7525216583</v>
      </c>
      <c r="J146" s="123">
        <f t="shared" si="30"/>
        <v>3134888.2985262014</v>
      </c>
      <c r="K146" s="123">
        <f>IF(K112&lt;=$C76,J146-($C$5*K118+K132+K135),J146-(K132+K135))</f>
        <v>2776534.3463573665</v>
      </c>
      <c r="L146" s="123">
        <f t="shared" si="30"/>
        <v>2412859.1064730948</v>
      </c>
      <c r="M146" s="123">
        <f t="shared" si="30"/>
        <v>2043559.4271573427</v>
      </c>
      <c r="N146" s="123">
        <f t="shared" si="30"/>
        <v>1668318.2246212759</v>
      </c>
      <c r="O146" s="123">
        <f t="shared" si="30"/>
        <v>1286803.8896002756</v>
      </c>
      <c r="P146" s="123">
        <f t="shared" si="30"/>
        <v>898669.66949242214</v>
      </c>
      <c r="Q146" s="123">
        <f t="shared" si="30"/>
        <v>668424.45833879942</v>
      </c>
      <c r="R146" s="123">
        <f t="shared" si="30"/>
        <v>265946.39385404525</v>
      </c>
      <c r="S146" s="123">
        <f t="shared" si="30"/>
        <v>-144289.24017028464</v>
      </c>
      <c r="T146" s="123">
        <f t="shared" si="30"/>
        <v>-382561.77078718843</v>
      </c>
      <c r="U146" s="123">
        <f t="shared" si="30"/>
        <v>-625599.75201643037</v>
      </c>
      <c r="V146" s="123">
        <f t="shared" si="30"/>
        <v>-873498.49287025724</v>
      </c>
      <c r="W146" s="123">
        <f t="shared" si="30"/>
        <v>-1126355.2085411604</v>
      </c>
      <c r="X146" s="123">
        <f t="shared" si="30"/>
        <v>-1384269.0585254817</v>
      </c>
      <c r="Y146" s="123">
        <f t="shared" si="30"/>
        <v>-1384269.0585254817</v>
      </c>
      <c r="Z146" s="123">
        <f t="shared" si="30"/>
        <v>-1384269.0585254817</v>
      </c>
      <c r="AA146" s="123">
        <f>IF(AA112&lt;=$C76,Z146-($C$5*AA118+AA132+AA135),Z146-(AA132+AA135))</f>
        <v>-1384269.0585254817</v>
      </c>
      <c r="AB146" s="123">
        <f t="shared" si="30"/>
        <v>-1384269.0585254817</v>
      </c>
      <c r="AC146" s="123">
        <f t="shared" si="30"/>
        <v>-1384269.0585254817</v>
      </c>
      <c r="AD146" s="123">
        <f t="shared" si="30"/>
        <v>-1384269.0585254817</v>
      </c>
      <c r="AE146" s="123">
        <f>IF(AE112&lt;=$C76,AD146-($C$5*AE118+AE132+AE135),AD146-(AE132+AE135))</f>
        <v>-1384269.0585254817</v>
      </c>
      <c r="AF146" s="123">
        <f t="shared" si="30"/>
        <v>-1384269.0585254817</v>
      </c>
      <c r="AG146" s="123">
        <f>IF(AG112&lt;=$C76,AF146-($C$5*AG118+AG132+AG135),AF146-(AG132+AG135))</f>
        <v>-1384269.0585254817</v>
      </c>
      <c r="AH146" s="123">
        <f t="shared" si="30"/>
        <v>-1384269.0585254817</v>
      </c>
      <c r="AI146" s="123">
        <f t="shared" si="30"/>
        <v>-1384269.0585254817</v>
      </c>
      <c r="AJ146" s="123">
        <f t="shared" si="30"/>
        <v>-1384269.0585254817</v>
      </c>
      <c r="AK146" s="123">
        <f t="shared" si="30"/>
        <v>-1384269.0585254817</v>
      </c>
      <c r="AL146" s="123">
        <f t="shared" si="30"/>
        <v>-1384269.0585254817</v>
      </c>
      <c r="AM146" s="123">
        <f t="shared" si="30"/>
        <v>-1384269.0585254817</v>
      </c>
      <c r="AN146" s="123">
        <f t="shared" si="30"/>
        <v>-1384269.0585254817</v>
      </c>
      <c r="AO146" s="123">
        <f t="shared" si="30"/>
        <v>-1384269.0585254817</v>
      </c>
      <c r="AP146" s="123">
        <f t="shared" si="30"/>
        <v>-1384269.0585254817</v>
      </c>
      <c r="AQ146" s="123">
        <f t="shared" si="30"/>
        <v>-1384269.0585254817</v>
      </c>
      <c r="AR146" s="387">
        <f t="shared" si="30"/>
        <v>-1384269.0585254817</v>
      </c>
    </row>
    <row r="147" spans="1:44" ht="13" thickBot="1" x14ac:dyDescent="0.3">
      <c r="B147" s="124" t="s">
        <v>473</v>
      </c>
      <c r="C147" s="125"/>
      <c r="D147" s="125"/>
      <c r="E147" s="126">
        <f t="shared" ref="E147:AR147" si="31">IF(E112&gt;$C$74,"",(-$C$94*(E139+$C$5*E118)+E132+$C$5*E118)/-E137)</f>
        <v>1.4010370535241954</v>
      </c>
      <c r="F147" s="126">
        <f t="shared" si="31"/>
        <v>1.3875386880544498</v>
      </c>
      <c r="G147" s="126">
        <f t="shared" si="31"/>
        <v>1.3736859550708964</v>
      </c>
      <c r="H147" s="126">
        <f t="shared" si="31"/>
        <v>1.3594683912150831</v>
      </c>
      <c r="I147" s="126">
        <f t="shared" si="31"/>
        <v>1.3448751888210608</v>
      </c>
      <c r="J147" s="126">
        <f t="shared" si="31"/>
        <v>1.329895183627622</v>
      </c>
      <c r="K147" s="126">
        <f t="shared" si="31"/>
        <v>1.314516842028717</v>
      </c>
      <c r="L147" s="126">
        <f t="shared" si="31"/>
        <v>1.2987282478441722</v>
      </c>
      <c r="M147" s="126">
        <f t="shared" si="31"/>
        <v>1.2825170885921284</v>
      </c>
      <c r="N147" s="126">
        <f t="shared" si="31"/>
        <v>1.2658706412438836</v>
      </c>
      <c r="O147" s="126">
        <f t="shared" si="31"/>
        <v>1.2487757574410672</v>
      </c>
      <c r="P147" s="126">
        <f t="shared" si="31"/>
        <v>1.2312188481542834</v>
      </c>
      <c r="Q147" s="126">
        <f t="shared" si="31"/>
        <v>0.83162951524080442</v>
      </c>
      <c r="R147" s="126">
        <f t="shared" si="31"/>
        <v>1.1946622975238983</v>
      </c>
      <c r="S147" s="126">
        <f t="shared" si="31"/>
        <v>1.175633128434989</v>
      </c>
      <c r="T147" s="126" t="str">
        <f t="shared" si="31"/>
        <v/>
      </c>
      <c r="U147" s="126" t="str">
        <f t="shared" si="31"/>
        <v/>
      </c>
      <c r="V147" s="126" t="str">
        <f t="shared" si="31"/>
        <v/>
      </c>
      <c r="W147" s="126" t="str">
        <f t="shared" si="31"/>
        <v/>
      </c>
      <c r="X147" s="126" t="str">
        <f t="shared" si="31"/>
        <v/>
      </c>
      <c r="Y147" s="126" t="str">
        <f t="shared" si="31"/>
        <v/>
      </c>
      <c r="Z147" s="126" t="str">
        <f t="shared" si="31"/>
        <v/>
      </c>
      <c r="AA147" s="126" t="str">
        <f t="shared" si="31"/>
        <v/>
      </c>
      <c r="AB147" s="126" t="str">
        <f t="shared" si="31"/>
        <v/>
      </c>
      <c r="AC147" s="126" t="str">
        <f t="shared" si="31"/>
        <v/>
      </c>
      <c r="AD147" s="126" t="str">
        <f t="shared" si="31"/>
        <v/>
      </c>
      <c r="AE147" s="126" t="str">
        <f t="shared" si="31"/>
        <v/>
      </c>
      <c r="AF147" s="126" t="str">
        <f t="shared" si="31"/>
        <v/>
      </c>
      <c r="AG147" s="126" t="str">
        <f t="shared" si="31"/>
        <v/>
      </c>
      <c r="AH147" s="126" t="str">
        <f t="shared" si="31"/>
        <v/>
      </c>
      <c r="AI147" s="126" t="str">
        <f t="shared" si="31"/>
        <v/>
      </c>
      <c r="AJ147" s="126" t="str">
        <f t="shared" si="31"/>
        <v/>
      </c>
      <c r="AK147" s="126" t="str">
        <f t="shared" si="31"/>
        <v/>
      </c>
      <c r="AL147" s="126" t="str">
        <f t="shared" si="31"/>
        <v/>
      </c>
      <c r="AM147" s="126" t="str">
        <f t="shared" si="31"/>
        <v/>
      </c>
      <c r="AN147" s="126" t="str">
        <f t="shared" si="31"/>
        <v/>
      </c>
      <c r="AO147" s="126" t="str">
        <f t="shared" si="31"/>
        <v/>
      </c>
      <c r="AP147" s="126" t="str">
        <f t="shared" si="31"/>
        <v/>
      </c>
      <c r="AQ147" s="126" t="str">
        <f t="shared" si="31"/>
        <v/>
      </c>
      <c r="AR147" s="127" t="str">
        <f t="shared" si="31"/>
        <v/>
      </c>
    </row>
    <row r="148" spans="1:44" ht="13" x14ac:dyDescent="0.3">
      <c r="A148" s="54"/>
      <c r="B148" s="54"/>
      <c r="C148" s="54"/>
      <c r="D148" s="16"/>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row>
    <row r="149" spans="1:44" ht="13" x14ac:dyDescent="0.25">
      <c r="B149" s="134" t="s">
        <v>474</v>
      </c>
      <c r="C149" s="103" t="s">
        <v>79</v>
      </c>
      <c r="D149" s="128" t="s">
        <v>136</v>
      </c>
      <c r="E149" s="56"/>
      <c r="F149" s="56"/>
      <c r="G149" s="56"/>
      <c r="H149" s="56"/>
      <c r="I149" s="56"/>
      <c r="J149" s="56"/>
      <c r="K149" s="56"/>
      <c r="L149" s="56"/>
      <c r="M149" s="56"/>
    </row>
    <row r="150" spans="1:44" x14ac:dyDescent="0.25">
      <c r="B150" s="26" t="s">
        <v>475</v>
      </c>
      <c r="C150" s="153">
        <f>NPV($C$91,E142:AR142)</f>
        <v>-3945593.2314068056</v>
      </c>
      <c r="D150" s="57" t="s">
        <v>476</v>
      </c>
    </row>
    <row r="151" spans="1:44" x14ac:dyDescent="0.25">
      <c r="B151" s="26" t="s">
        <v>477</v>
      </c>
      <c r="C151" s="153">
        <f>(1-$C$94)*NPV($C$91,E145:AR145)</f>
        <v>56359597.115282513</v>
      </c>
      <c r="D151" s="58" t="str">
        <f>$C$7</f>
        <v>kWh</v>
      </c>
      <c r="F151" s="59"/>
    </row>
    <row r="152" spans="1:44" x14ac:dyDescent="0.25">
      <c r="B152" s="26" t="s">
        <v>478</v>
      </c>
      <c r="C152" s="153">
        <f>$C$41*1000000</f>
        <v>5188625</v>
      </c>
      <c r="D152" s="57" t="s">
        <v>424</v>
      </c>
      <c r="F152" s="60"/>
    </row>
    <row r="153" spans="1:44" x14ac:dyDescent="0.25">
      <c r="B153" s="26" t="s">
        <v>479</v>
      </c>
      <c r="C153" s="154">
        <f>AVERAGE(E147:AR147)</f>
        <v>1.2693368551211499</v>
      </c>
      <c r="D153" s="57"/>
      <c r="F153" s="60"/>
    </row>
    <row r="154" spans="1:44" x14ac:dyDescent="0.25">
      <c r="B154" s="26" t="s">
        <v>480</v>
      </c>
      <c r="C154" s="155" t="str">
        <f>CONCATENATE(ROUND(((1-$C$94)*$C$90*$C$92+$C$93*$C$91)*100,1),"% / ",ROUND((((1+(1-$C$94)*$C$90*$C$92+$C$93*$C$91)/(1+$C$89))-1)*100,1),"%")</f>
        <v>4.1% / 2%</v>
      </c>
      <c r="D154" s="57"/>
      <c r="F154" s="59"/>
      <c r="G154" s="61"/>
    </row>
    <row r="155" spans="1:44" x14ac:dyDescent="0.25">
      <c r="B155" s="26" t="s">
        <v>481</v>
      </c>
      <c r="C155" s="156">
        <f>IFERROR(IRR(D143:AR143),"n.v.t.")</f>
        <v>-0.12884962508940268</v>
      </c>
      <c r="D155" s="57"/>
      <c r="F155" s="60"/>
      <c r="G155" s="61"/>
    </row>
    <row r="156" spans="1:44" x14ac:dyDescent="0.25">
      <c r="B156" s="26" t="s">
        <v>482</v>
      </c>
      <c r="C156" s="156" t="str">
        <f>IFERROR(IRR(D144:AR144),"n.v.t.")</f>
        <v>n.v.t.</v>
      </c>
      <c r="D156" s="57"/>
      <c r="G156" s="61"/>
    </row>
    <row r="157" spans="1:44" x14ac:dyDescent="0.25">
      <c r="B157" s="38" t="s">
        <v>483</v>
      </c>
      <c r="C157" s="153">
        <f>$C$92*C152-C97</f>
        <v>3891468.75</v>
      </c>
      <c r="D157" s="57" t="s">
        <v>424</v>
      </c>
      <c r="F157" s="35"/>
    </row>
    <row r="158" spans="1:44" x14ac:dyDescent="0.25">
      <c r="B158" s="38" t="s">
        <v>484</v>
      </c>
      <c r="C158" s="153">
        <f>$C$93*C152-C98</f>
        <v>1297156.25</v>
      </c>
      <c r="D158" s="57" t="s">
        <v>424</v>
      </c>
      <c r="F158" s="35"/>
    </row>
    <row r="159" spans="1:44" x14ac:dyDescent="0.25">
      <c r="B159" s="38" t="s">
        <v>223</v>
      </c>
      <c r="C159" s="157">
        <f>IF(AND(E115&gt;0,E116&gt;0),ROUND(E116/E115,2),0)</f>
        <v>0</v>
      </c>
      <c r="D159" s="62" t="s">
        <v>485</v>
      </c>
      <c r="F159" s="35"/>
    </row>
    <row r="160" spans="1:44" x14ac:dyDescent="0.25">
      <c r="B160" s="38" t="s">
        <v>486</v>
      </c>
      <c r="C160" s="158">
        <f>IF(C159=0,MAX(C29:C30),E118/SUM(C26,C28))</f>
        <v>740</v>
      </c>
      <c r="D160" s="57" t="s">
        <v>340</v>
      </c>
      <c r="F160" s="35"/>
    </row>
    <row r="161" spans="2:44" x14ac:dyDescent="0.25">
      <c r="B161" s="43" t="s">
        <v>487</v>
      </c>
      <c r="C161" s="461" t="str">
        <f>CONCATENATE( "tussen ", INDEX(D112:X112, MATCH(0,D146:X146, -1)), " en ",  1 + INDEX(D112:X112, MATCH(0,D146:X146, -1)), " jaar")</f>
        <v>tussen 14 en 15 jaar</v>
      </c>
      <c r="D161" s="462"/>
      <c r="F161" s="63"/>
      <c r="G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row>
    <row r="162" spans="2:44" x14ac:dyDescent="0.25">
      <c r="B162" s="10"/>
      <c r="C162" s="10"/>
      <c r="D162" s="64"/>
      <c r="E162" s="51"/>
      <c r="F162" s="63"/>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row>
    <row r="163" spans="2:44" x14ac:dyDescent="0.25">
      <c r="B163" s="134" t="s">
        <v>488</v>
      </c>
      <c r="C163" s="103" t="s">
        <v>79</v>
      </c>
      <c r="D163" s="128" t="s">
        <v>136</v>
      </c>
      <c r="E163" s="51"/>
      <c r="F163" s="63"/>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row>
    <row r="164" spans="2:44" ht="14.65" customHeight="1" x14ac:dyDescent="0.25">
      <c r="B164" s="333" t="s">
        <v>46</v>
      </c>
      <c r="C164" s="419" t="str">
        <f>IF($C12="","","")</f>
        <v/>
      </c>
      <c r="D164" s="334" t="str">
        <f t="shared" ref="D164:D174" si="32">CONCATENATE("Euro/",$C$7)</f>
        <v>Euro/kWh</v>
      </c>
    </row>
    <row r="165" spans="2:44" ht="14.65" customHeight="1" x14ac:dyDescent="0.25">
      <c r="B165" s="65" t="s">
        <v>489</v>
      </c>
      <c r="C165" s="345" t="str">
        <f>IF(C15&gt;0,C166&amp;" / "&amp;C167,ROUND(VLOOKUP($C12,Correcties!$A$4:$H$10,8),3))</f>
        <v>0.035 / 0.074</v>
      </c>
      <c r="D165" s="57" t="str">
        <f t="shared" si="32"/>
        <v>Euro/kWh</v>
      </c>
    </row>
    <row r="166" spans="2:44" x14ac:dyDescent="0.25">
      <c r="B166" s="26" t="s">
        <v>490</v>
      </c>
      <c r="C166" s="140">
        <f>IFERROR(ROUND(INDEX(Correcties!$A$1:$I$10,MATCH(C15,Correcties!$A$1:$A$10,0),8),decimalen),"n.v.t.")</f>
        <v>3.5000000000000003E-2</v>
      </c>
      <c r="D166" s="57" t="str">
        <f t="shared" si="32"/>
        <v>Euro/kWh</v>
      </c>
    </row>
    <row r="167" spans="2:44" s="10" customFormat="1" x14ac:dyDescent="0.25">
      <c r="B167" s="27" t="s">
        <v>33</v>
      </c>
      <c r="C167" s="343">
        <f>IFERROR(ROUND(INDEX(Correcties!$A$1:$I$11,MATCH(C16,Correcties!$A$1:$A$11,0),8),decimalen),"n.v.t.")</f>
        <v>7.3999999999999996E-2</v>
      </c>
      <c r="D167" s="66" t="str">
        <f t="shared" si="32"/>
        <v>Euro/kWh</v>
      </c>
    </row>
    <row r="168" spans="2:44" s="10" customFormat="1" x14ac:dyDescent="0.25">
      <c r="B168" s="93" t="s">
        <v>491</v>
      </c>
      <c r="C168" s="342" t="str">
        <f>IF(C16&gt;0,"netlevering: "&amp;ROUND(VLOOKUP($C$15,Correcties!$A$4:$M$11,6,FALSE),decimalen)&amp;", niet-netlevering: "&amp;ROUND(VLOOKUP($C$16,Correcties!$A$4:$M$11,6,FALSE),decimalen))</f>
        <v>netlevering: 0.052, niet-netlevering: 0.091</v>
      </c>
      <c r="D168" s="94" t="str">
        <f t="shared" si="32"/>
        <v>Euro/kWh</v>
      </c>
    </row>
    <row r="169" spans="2:44" s="10" customFormat="1" x14ac:dyDescent="0.25">
      <c r="B169" s="26" t="str">
        <f>"Voorlopig correctiebedrag "&amp;Colofon!$C$29</f>
        <v>Voorlopig correctiebedrag 2025</v>
      </c>
      <c r="C169" s="140" t="str">
        <f>IF(C16&gt;0,"netlevering: "&amp;ROUND(VLOOKUP($C$15,Correcties!$A$4:$M$11,4,FALSE),decimalen)&amp;", niet-netlevering: "&amp;ROUND(VLOOKUP($C$16,Correcties!$A$4:$M$11,4),decimalen))</f>
        <v>netlevering: 0.053, niet-netlevering: 0.093</v>
      </c>
      <c r="D169" s="57" t="str">
        <f t="shared" si="32"/>
        <v>Euro/kWh</v>
      </c>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row>
    <row r="170" spans="2:44" s="10" customFormat="1" x14ac:dyDescent="0.25">
      <c r="B170" s="95" t="str">
        <f>"Voorlopige GvO-waarde "&amp;Colofon!$C$29</f>
        <v>Voorlopige GvO-waarde 2025</v>
      </c>
      <c r="C170" s="342" t="str">
        <f>IF(C16&gt;0,"netlevering: "&amp;ROUND(VLOOKUP($C$15,Correcties!$A$4:$M$11,12,FALSE),decimalen)&amp;", niet-netlevering: "&amp;ROUND(VLOOKUP($C$16,Correcties!$A$4:$M$11,12,FALSE),decimalen))</f>
        <v>netlevering: 0.004, niet-netlevering: 0</v>
      </c>
      <c r="D170" s="94" t="str">
        <f t="shared" si="32"/>
        <v>Euro/kWh</v>
      </c>
    </row>
    <row r="171" spans="2:44" s="10" customFormat="1" x14ac:dyDescent="0.25">
      <c r="B171" s="65" t="s">
        <v>49</v>
      </c>
      <c r="C171" s="344">
        <f>IF(NOT(OR($C$13=6,$C$13=7,$C$13=9)),_xlfn.XLOOKUP($C$13,Correcties!A27:A37,Correcties!D27:D37,"foutmelding"),($C$22-1)/$C$22*Correcties!D69*IF($C$13=7,1,Correcties!D70)*IF($C$13=9,Correcties!D71,1))*IF(C159=0,1,C159/(1+C159))</f>
        <v>0</v>
      </c>
      <c r="D171" s="57" t="str">
        <f t="shared" si="32"/>
        <v>Euro/kWh</v>
      </c>
      <c r="F171" s="67"/>
      <c r="G171" s="67"/>
      <c r="H171" s="67"/>
      <c r="I171" s="67"/>
      <c r="J171" s="67"/>
      <c r="K171" s="67"/>
      <c r="L171" s="67"/>
      <c r="M171" s="67"/>
      <c r="N171" s="67"/>
      <c r="O171" s="67"/>
      <c r="P171" s="67"/>
    </row>
    <row r="172" spans="2:44" s="10" customFormat="1" ht="13.5" customHeight="1" x14ac:dyDescent="0.25">
      <c r="B172" s="68" t="s">
        <v>492</v>
      </c>
      <c r="C172" s="344">
        <f>IF(C14="Nee",0,IF(NOT(OR($C$13=6,$C$13=7,$C$13=9)),_xlfn.XLOOKUP($C$13,Correcties!A27:A37,Correcties!F27:F37,"foutmelding"),($C$22-1)/$C$22*Correcties!H69*IF($C$13=7,1,Correcties!H70)*IF($C$13=9,Correcties!H71,1))*IF(C159=0,1,C159/(1+C159)))</f>
        <v>0</v>
      </c>
      <c r="D172" s="66" t="str">
        <f t="shared" si="32"/>
        <v>Euro/kWh</v>
      </c>
      <c r="F172" s="67"/>
      <c r="G172" s="67"/>
      <c r="H172" s="67"/>
      <c r="I172" s="67"/>
      <c r="J172" s="67"/>
      <c r="K172" s="67"/>
      <c r="L172" s="67"/>
      <c r="M172" s="67"/>
      <c r="N172" s="67"/>
      <c r="O172" s="67"/>
      <c r="P172" s="67"/>
    </row>
    <row r="173" spans="2:44" s="10" customFormat="1" ht="13.5" customHeight="1" x14ac:dyDescent="0.25">
      <c r="B173" s="68" t="s">
        <v>493</v>
      </c>
      <c r="C173" s="342">
        <f>IFERROR(ROUND(INDEX(Correcties!$A$1:$K$10,MATCH(C15,Correcties!$A$1:$A$10,0),6),decimalen),"n.v.t.")</f>
        <v>5.1999999999999998E-2</v>
      </c>
      <c r="D173" s="66" t="str">
        <f t="shared" si="32"/>
        <v>Euro/kWh</v>
      </c>
      <c r="F173" s="67"/>
      <c r="G173" s="67"/>
      <c r="H173" s="67"/>
      <c r="I173" s="67"/>
      <c r="J173" s="67"/>
      <c r="K173" s="67"/>
      <c r="L173" s="67"/>
      <c r="M173" s="67"/>
      <c r="N173" s="67"/>
      <c r="O173" s="67"/>
      <c r="P173" s="67"/>
    </row>
    <row r="174" spans="2:44" s="10" customFormat="1" ht="13.5" customHeight="1" x14ac:dyDescent="0.25">
      <c r="B174" s="68" t="s">
        <v>494</v>
      </c>
      <c r="C174" s="343">
        <f>IFERROR(ROUND(INDEX(Correcties!$A$1:$K$11,MATCH(C16,Correcties!$A$1:$A$11,0),6),decimalen),"n.v.t.")</f>
        <v>9.0999999999999998E-2</v>
      </c>
      <c r="D174" s="66" t="str">
        <f t="shared" si="32"/>
        <v>Euro/kWh</v>
      </c>
      <c r="F174" s="67"/>
      <c r="G174" s="67"/>
      <c r="H174" s="67"/>
      <c r="I174" s="67"/>
      <c r="J174" s="67"/>
      <c r="K174" s="67"/>
      <c r="L174" s="67"/>
      <c r="M174" s="67"/>
      <c r="N174" s="67"/>
      <c r="O174" s="67"/>
      <c r="P174" s="67"/>
    </row>
    <row r="175" spans="2:44" s="10" customFormat="1" x14ac:dyDescent="0.25">
      <c r="B175" s="65" t="str">
        <f>"Voorlopig correctiebedrag "&amp;Colofon!$B$21&amp;""</f>
        <v xml:space="preserve">Voorlopig correctiebedrag </v>
      </c>
      <c r="C175" s="159" t="str">
        <f>IF(C15&gt;0,"netlevering: "&amp;C176&amp;", niet-netlevering: "&amp;C177,ROUND(VLOOKUP($C21,Correcties!$A$4:$J$74,6),decimalen))</f>
        <v>netlevering: 0.057, niet-netlevering: 0.093</v>
      </c>
      <c r="D175" s="334" t="s">
        <v>406</v>
      </c>
      <c r="F175" s="67"/>
      <c r="G175" s="67"/>
      <c r="H175" s="67"/>
      <c r="I175" s="67"/>
      <c r="J175" s="67"/>
      <c r="K175" s="67"/>
      <c r="L175" s="67"/>
      <c r="M175" s="67"/>
      <c r="N175" s="67"/>
      <c r="O175" s="67"/>
      <c r="P175" s="67"/>
    </row>
    <row r="176" spans="2:44" s="10" customFormat="1" x14ac:dyDescent="0.25">
      <c r="B176" s="65" t="str">
        <f>"Voorlopig correctiebedrag "&amp;Colofon!$B$21&amp;" netlevering "</f>
        <v xml:space="preserve">Voorlopig correctiebedrag  netlevering </v>
      </c>
      <c r="C176" s="344">
        <f>ROUND(VLOOKUP(C15,Correcties!$A$4:$K$11,10,FALSE),decimalen)</f>
        <v>5.7000000000000002E-2</v>
      </c>
      <c r="D176" s="57" t="s">
        <v>406</v>
      </c>
      <c r="F176" s="67"/>
      <c r="G176" s="67"/>
      <c r="H176" s="67"/>
      <c r="I176" s="67"/>
      <c r="J176" s="67"/>
      <c r="K176" s="67"/>
      <c r="L176" s="67"/>
      <c r="M176" s="67"/>
      <c r="N176" s="67"/>
      <c r="O176" s="67"/>
      <c r="P176" s="67"/>
    </row>
    <row r="177" spans="2:16" s="10" customFormat="1" x14ac:dyDescent="0.25">
      <c r="B177" s="68" t="str">
        <f>"Voorlopig correctiebedrag "&amp;Colofon!$B$21&amp;" niet-netlevering "</f>
        <v xml:space="preserve">Voorlopig correctiebedrag  niet-netlevering </v>
      </c>
      <c r="C177" s="343">
        <f>ROUND(VLOOKUP(C16,Correcties!$A$4:$K$11,10,FALSE),decimalen)</f>
        <v>9.2999999999999999E-2</v>
      </c>
      <c r="D177" s="66" t="s">
        <v>406</v>
      </c>
      <c r="F177" s="67"/>
      <c r="G177" s="67"/>
      <c r="H177" s="67"/>
      <c r="I177" s="67"/>
      <c r="J177" s="67"/>
      <c r="K177" s="67"/>
      <c r="L177" s="67"/>
      <c r="M177" s="67"/>
      <c r="N177" s="67"/>
      <c r="O177" s="67"/>
      <c r="P177" s="67"/>
    </row>
    <row r="178" spans="2:16" s="10" customFormat="1" x14ac:dyDescent="0.25">
      <c r="B178" s="68" t="str">
        <f>"Voorlopige GvO-waarde "&amp;Colofon!$C$29</f>
        <v>Voorlopige GvO-waarde 2025</v>
      </c>
      <c r="C178" s="343">
        <f>ROUND(VLOOKUP($C$15,Correcties!$A$4:$M$11,12,FALSE),decimalen)</f>
        <v>4.0000000000000001E-3</v>
      </c>
      <c r="D178" s="66" t="str">
        <f t="shared" ref="D178" si="33">CONCATENATE("Euro/",$C$7)</f>
        <v>Euro/kWh</v>
      </c>
      <c r="E178" s="67"/>
      <c r="F178" s="67"/>
      <c r="G178" s="67"/>
      <c r="H178" s="67"/>
      <c r="I178" s="67"/>
      <c r="J178" s="67"/>
      <c r="K178" s="67"/>
      <c r="L178" s="67"/>
      <c r="M178" s="67"/>
      <c r="N178" s="67"/>
      <c r="O178" s="67"/>
      <c r="P178" s="67"/>
    </row>
    <row r="179" spans="2:16" s="10" customFormat="1" x14ac:dyDescent="0.25">
      <c r="E179" s="67"/>
      <c r="F179" s="67"/>
      <c r="G179" s="67"/>
      <c r="H179" s="67"/>
      <c r="I179" s="67"/>
      <c r="J179" s="67"/>
      <c r="K179" s="67"/>
      <c r="L179" s="67"/>
      <c r="M179" s="67"/>
      <c r="N179" s="67"/>
      <c r="O179" s="67"/>
      <c r="P179" s="67"/>
    </row>
    <row r="180" spans="2:16" s="10" customFormat="1" x14ac:dyDescent="0.25">
      <c r="B180" s="102" t="s">
        <v>495</v>
      </c>
      <c r="C180" s="103" t="s">
        <v>79</v>
      </c>
      <c r="D180" s="128" t="s">
        <v>136</v>
      </c>
    </row>
    <row r="181" spans="2:16" s="10" customFormat="1" x14ac:dyDescent="0.25">
      <c r="B181" s="26" t="s">
        <v>496</v>
      </c>
      <c r="C181" s="69">
        <v>35.799999999999997</v>
      </c>
      <c r="D181" s="57" t="s">
        <v>497</v>
      </c>
    </row>
    <row r="182" spans="2:16" s="10" customFormat="1" x14ac:dyDescent="0.25">
      <c r="B182" s="26" t="s">
        <v>498</v>
      </c>
      <c r="C182" s="69">
        <v>31.65</v>
      </c>
      <c r="D182" s="57" t="s">
        <v>497</v>
      </c>
    </row>
    <row r="183" spans="2:16" s="10" customFormat="1" x14ac:dyDescent="0.25">
      <c r="B183" s="26" t="s">
        <v>499</v>
      </c>
      <c r="C183" s="69">
        <v>35.17</v>
      </c>
      <c r="D183" s="57" t="s">
        <v>497</v>
      </c>
    </row>
    <row r="184" spans="2:16" s="10" customFormat="1" x14ac:dyDescent="0.25">
      <c r="B184" s="27" t="s">
        <v>500</v>
      </c>
      <c r="C184" s="70">
        <v>3.6</v>
      </c>
      <c r="D184" s="66" t="s">
        <v>501</v>
      </c>
    </row>
    <row r="185" spans="2:16" s="10" customFormat="1" x14ac:dyDescent="0.25">
      <c r="E185" s="71"/>
    </row>
    <row r="186" spans="2:16" s="10" customFormat="1" x14ac:dyDescent="0.25"/>
    <row r="187" spans="2:16" x14ac:dyDescent="0.25">
      <c r="E187" s="10"/>
      <c r="F187" s="10"/>
      <c r="H187" s="10"/>
    </row>
    <row r="188" spans="2:16" x14ac:dyDescent="0.25">
      <c r="E188" s="10"/>
      <c r="F188" s="10"/>
      <c r="H188" s="10"/>
    </row>
    <row r="189" spans="2:16" x14ac:dyDescent="0.25">
      <c r="E189" s="10"/>
      <c r="F189" s="10"/>
      <c r="H189" s="10"/>
    </row>
    <row r="190" spans="2:16" x14ac:dyDescent="0.25">
      <c r="H190" s="10"/>
    </row>
    <row r="191" spans="2:16" x14ac:dyDescent="0.25">
      <c r="H191" s="10"/>
    </row>
    <row r="192" spans="2:16"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sheetData>
  <mergeCells count="89">
    <mergeCell ref="E104:M104"/>
    <mergeCell ref="B107:C107"/>
    <mergeCell ref="B108:C108"/>
    <mergeCell ref="B111:M111"/>
    <mergeCell ref="C161:D161"/>
    <mergeCell ref="E102:M102"/>
    <mergeCell ref="E89:M89"/>
    <mergeCell ref="E90:M90"/>
    <mergeCell ref="E91:M91"/>
    <mergeCell ref="E92:M92"/>
    <mergeCell ref="E93:M93"/>
    <mergeCell ref="E94:M94"/>
    <mergeCell ref="E96:M96"/>
    <mergeCell ref="E97:M97"/>
    <mergeCell ref="E98:M98"/>
    <mergeCell ref="E100:M100"/>
    <mergeCell ref="E101:M101"/>
    <mergeCell ref="E88:M88"/>
    <mergeCell ref="E75:M75"/>
    <mergeCell ref="E76:M76"/>
    <mergeCell ref="E77:M77"/>
    <mergeCell ref="E79:M79"/>
    <mergeCell ref="E80:M80"/>
    <mergeCell ref="E81:M81"/>
    <mergeCell ref="E82:M82"/>
    <mergeCell ref="E83:M83"/>
    <mergeCell ref="E84:M84"/>
    <mergeCell ref="E85:M85"/>
    <mergeCell ref="E86:M86"/>
    <mergeCell ref="E74:M74"/>
    <mergeCell ref="E62:M62"/>
    <mergeCell ref="E63:M63"/>
    <mergeCell ref="E64:M64"/>
    <mergeCell ref="E65:M65"/>
    <mergeCell ref="E66:M66"/>
    <mergeCell ref="E67:M67"/>
    <mergeCell ref="E68:M68"/>
    <mergeCell ref="E69:M69"/>
    <mergeCell ref="E70:M70"/>
    <mergeCell ref="E72:M72"/>
    <mergeCell ref="E73:M73"/>
    <mergeCell ref="E60:M60"/>
    <mergeCell ref="E48:M48"/>
    <mergeCell ref="E49:M49"/>
    <mergeCell ref="E51:M51"/>
    <mergeCell ref="E52:M52"/>
    <mergeCell ref="E53:M53"/>
    <mergeCell ref="E54:M54"/>
    <mergeCell ref="E55:M55"/>
    <mergeCell ref="E56:M56"/>
    <mergeCell ref="E57:M57"/>
    <mergeCell ref="E58:M58"/>
    <mergeCell ref="E59:M59"/>
    <mergeCell ref="E47:M47"/>
    <mergeCell ref="E35:M35"/>
    <mergeCell ref="E36:M36"/>
    <mergeCell ref="E38:M38"/>
    <mergeCell ref="E39:M39"/>
    <mergeCell ref="E40:M40"/>
    <mergeCell ref="E41:M41"/>
    <mergeCell ref="E42:M42"/>
    <mergeCell ref="E43:M43"/>
    <mergeCell ref="E44:M44"/>
    <mergeCell ref="E45:M45"/>
    <mergeCell ref="E46:M46"/>
    <mergeCell ref="E34:M34"/>
    <mergeCell ref="E21:M21"/>
    <mergeCell ref="E22:M22"/>
    <mergeCell ref="E24:M24"/>
    <mergeCell ref="E25:M25"/>
    <mergeCell ref="E26:M26"/>
    <mergeCell ref="E27:M27"/>
    <mergeCell ref="E28:M28"/>
    <mergeCell ref="E29:M29"/>
    <mergeCell ref="E30:M30"/>
    <mergeCell ref="E32:M32"/>
    <mergeCell ref="E33:M33"/>
    <mergeCell ref="E20:M20"/>
    <mergeCell ref="E4:M4"/>
    <mergeCell ref="E5:M5"/>
    <mergeCell ref="E6:M6"/>
    <mergeCell ref="E8:M8"/>
    <mergeCell ref="E11:M11"/>
    <mergeCell ref="E12:M12"/>
    <mergeCell ref="E13:M13"/>
    <mergeCell ref="E15:M15"/>
    <mergeCell ref="E16:M16"/>
    <mergeCell ref="E17:M17"/>
    <mergeCell ref="E18:M18"/>
  </mergeCells>
  <conditionalFormatting sqref="G19 G110:G114 G149:G160 G164:G168 G170">
    <cfRule type="containsText" dxfId="47" priority="5" operator="containsText" text="Pas op">
      <formula>NOT(ISERROR(SEARCH("Pas op",G19)))</formula>
    </cfRule>
  </conditionalFormatting>
  <conditionalFormatting sqref="G105">
    <cfRule type="containsText" dxfId="46" priority="3" operator="containsText" text="Pas op">
      <formula>NOT(ISERROR(SEARCH("Pas op",G105)))</formula>
    </cfRule>
  </conditionalFormatting>
  <conditionalFormatting sqref="G185:G1048576">
    <cfRule type="containsText" dxfId="45" priority="4" operator="containsText" text="Pas op">
      <formula>NOT(ISERROR(SEARCH("Pas op",G185)))</formula>
    </cfRule>
  </conditionalFormatting>
  <dataValidations count="3">
    <dataValidation type="list" allowBlank="1" showInputMessage="1" showErrorMessage="1" sqref="C14" xr:uid="{A5BD0689-2BFE-49C6-A800-B01B759BF691}">
      <formula1>"Nee,Ja,Geen warmte"</formula1>
    </dataValidation>
    <dataValidation type="list" allowBlank="1" showInputMessage="1" showErrorMessage="1" sqref="C7" xr:uid="{1D635C0C-CA74-4E77-9F86-4E617BD71FC4}">
      <formula1>"t CO2,kWh"</formula1>
    </dataValidation>
    <dataValidation type="list" allowBlank="1" showInputMessage="1" showErrorMessage="1" sqref="C37362 C102898 C168434 C233970 C299506 C365042 C430578 C496114 C561650 C627186 C692722 C758258 C823794 C889330 C954866" xr:uid="{3788C1FD-7338-4BAA-8EAE-B41F8E6034CC}">
      <formula1>"ja,nee"</formula1>
    </dataValidation>
  </dataValidations>
  <pageMargins left="0.7" right="0.7" top="0.75" bottom="0.75" header="0.3" footer="0.3"/>
  <pageSetup paperSize="9" scale="1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9BE3F33-4AF5-4616-896E-C7EEDAD296B2}">
          <x14:formula1>
            <xm:f>Correcties!$A$27:$A$38</xm:f>
          </x14:formula1>
          <xm:sqref>C13</xm:sqref>
        </x14:dataValidation>
        <x14:dataValidation type="list" allowBlank="1" showInputMessage="1" showErrorMessage="1" xr:uid="{63FEA5E9-5DE1-4573-8075-11A1281788FD}">
          <x14:formula1>
            <xm:f>Colofon!$B$34:$B$39</xm:f>
          </x14:formula1>
          <xm:sqref>C9</xm:sqref>
        </x14:dataValidation>
        <x14:dataValidation type="list" allowBlank="1" showInputMessage="1" showErrorMessage="1" xr:uid="{EF1FBA36-56D3-4F5F-9083-3D060D2E7C85}">
          <x14:formula1>
            <xm:f>Correcties!$A$4:$A$10</xm:f>
          </x14:formula1>
          <xm:sqref>C12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A13979C982CE41BB9A7BED8F58D331" ma:contentTypeVersion="18" ma:contentTypeDescription="Een nieuw document maken." ma:contentTypeScope="" ma:versionID="ca5741170a2faf5bc2aeb96f51db0f2b">
  <xsd:schema xmlns:xsd="http://www.w3.org/2001/XMLSchema" xmlns:xs="http://www.w3.org/2001/XMLSchema" xmlns:p="http://schemas.microsoft.com/office/2006/metadata/properties" xmlns:ns2="83b1ee3b-81ea-4e1d-9c3c-7dade408bfdb" xmlns:ns3="0ecdee1c-0907-4074-9b46-ea45381e496c" targetNamespace="http://schemas.microsoft.com/office/2006/metadata/properties" ma:root="true" ma:fieldsID="e75ab57a79e5b775b30aff274b40dfbd" ns2:_="" ns3:_="">
    <xsd:import namespace="83b1ee3b-81ea-4e1d-9c3c-7dade408bfdb"/>
    <xsd:import namespace="0ecdee1c-0907-4074-9b46-ea45381e49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b1ee3b-81ea-4e1d-9c3c-7dade408b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3990300c-d600-4513-9bff-3e9eb93c76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cdee1c-0907-4074-9b46-ea45381e496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5afbf30-835a-4e61-b939-986c174f6194}" ma:internalName="TaxCatchAll" ma:showField="CatchAllData" ma:web="0ecdee1c-0907-4074-9b46-ea45381e49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cdee1c-0907-4074-9b46-ea45381e496c" xsi:nil="true"/>
    <lcf76f155ced4ddcb4097134ff3c332f xmlns="83b1ee3b-81ea-4e1d-9c3c-7dade408bfd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F64E77-1141-4708-B328-14A473E469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b1ee3b-81ea-4e1d-9c3c-7dade408bfdb"/>
    <ds:schemaRef ds:uri="0ecdee1c-0907-4074-9b46-ea45381e49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06B874-1391-46AF-B85D-4875737B8A20}">
  <ds:schemaRefs>
    <ds:schemaRef ds:uri="http://schemas.microsoft.com/sharepoint/v3/contenttype/forms"/>
  </ds:schemaRefs>
</ds:datastoreItem>
</file>

<file path=customXml/itemProps3.xml><?xml version="1.0" encoding="utf-8"?>
<ds:datastoreItem xmlns:ds="http://schemas.openxmlformats.org/officeDocument/2006/customXml" ds:itemID="{19E11DFB-C97A-412F-B601-C97A92313474}">
  <ds:schemaRefs>
    <ds:schemaRef ds:uri="http://schemas.microsoft.com/office/2006/metadata/properties"/>
    <ds:schemaRef ds:uri="http://schemas.microsoft.com/office/infopath/2007/PartnerControls"/>
    <ds:schemaRef ds:uri="0ecdee1c-0907-4074-9b46-ea45381e496c"/>
    <ds:schemaRef ds:uri="83b1ee3b-81ea-4e1d-9c3c-7dade408bf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24</vt:i4>
      </vt:variant>
      <vt:variant>
        <vt:lpstr>Benoemde bereiken</vt:lpstr>
      </vt:variant>
      <vt:variant>
        <vt:i4>1</vt:i4>
      </vt:variant>
    </vt:vector>
  </HeadingPairs>
  <TitlesOfParts>
    <vt:vector size="25" baseType="lpstr">
      <vt:lpstr>Colofon</vt:lpstr>
      <vt:lpstr>Overzicht</vt:lpstr>
      <vt:lpstr>Correcties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decimalen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Mugge, Matthijs</dc:creator>
  <cp:keywords/>
  <dc:description/>
  <cp:lastModifiedBy>Mugge, Matthijs</cp:lastModifiedBy>
  <cp:revision/>
  <dcterms:created xsi:type="dcterms:W3CDTF">2024-08-12T11:54:40Z</dcterms:created>
  <dcterms:modified xsi:type="dcterms:W3CDTF">2025-01-31T16:31:10Z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0x01010038A13979C982CE41BB9A7BED8F58D331</vt:lpwstr>
  </property>
  <property fmtid="{D5CDD505-2E9C-101B-9397-08002B2CF9AE}" pid="3" name="MediaServiceImageTags">
    <vt:lpwstr/>
  </property>
</Properties>
</file>